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501"/>
  <workbookPr filterPrivacy="1" defaultThemeVersion="166925"/>
  <xr:revisionPtr revIDLastSave="0" documentId="13_ncr:1_{FE9633A0-57FA-4FCA-B56C-7DFBCE0896DB}" xr6:coauthVersionLast="47" xr6:coauthVersionMax="47" xr10:uidLastSave="{00000000-0000-0000-0000-000000000000}"/>
  <bookViews>
    <workbookView xWindow="-120" yWindow="-120" windowWidth="20730" windowHeight="11160" tabRatio="624" firstSheet="3" activeTab="3" xr2:uid="{7AE1C66F-172A-4E87-AC5F-F8BD07B6455F}"/>
  </bookViews>
  <sheets>
    <sheet name="資金繰り表データ入力バージョン2 (原本)" sheetId="23" state="hidden" r:id="rId1"/>
    <sheet name="資金繰り表　バージョン2 (2)" sheetId="26" state="hidden" r:id="rId2"/>
    <sheet name="資金繰り表データ入力バージョン2 (2)" sheetId="27" state="hidden" r:id="rId3"/>
    <sheet name="資金繰り予定表 (製造原価あり)" sheetId="31" r:id="rId4"/>
    <sheet name="資金繰り予定表データ入力（製造原価あり）" sheetId="30" r:id="rId5"/>
    <sheet name="資金繰り表 (製造業向け)" sheetId="24" state="hidden" r:id="rId6"/>
    <sheet name="資金繰り表データ入力バージョン2　製造" sheetId="25" state="hidden" r:id="rId7"/>
    <sheet name="資金繰り表データ入力（製造）" sheetId="19" state="hidden" r:id="rId8"/>
    <sheet name="資金繰り表（製造業向け。事業者提出用）" sheetId="18" state="hidden" r:id="rId9"/>
    <sheet name="資金繰り表作成支援シート(旧)" sheetId="9" state="hidden" r:id="rId10"/>
  </sheets>
  <definedNames>
    <definedName name="_xlnm.Print_Area" localSheetId="5">'資金繰り表 (製造業向け)'!$A$1:$S$37</definedName>
    <definedName name="_xlnm.Print_Area" localSheetId="1">'資金繰り表　バージョン2 (2)'!$A$1:$S$37</definedName>
    <definedName name="_xlnm.Print_Area" localSheetId="8">'資金繰り表（製造業向け。事業者提出用）'!$A$1:$P$36</definedName>
    <definedName name="_xlnm.Print_Area" localSheetId="2">'資金繰り表データ入力バージョン2 (2)'!$A$1:$S$41</definedName>
    <definedName name="_xlnm.Print_Area" localSheetId="0">'資金繰り表データ入力バージョン2 (原本)'!$A$1:$O$32</definedName>
    <definedName name="_xlnm.Print_Area" localSheetId="9">'資金繰り表作成支援シート(旧)'!$A$2:$Q$40</definedName>
    <definedName name="_xlnm.Print_Area" localSheetId="3">'資金繰り予定表 (製造原価あり)'!$A$1:$S$36</definedName>
    <definedName name="_xlnm.Print_Area" localSheetId="4">'資金繰り予定表データ入力（製造原価あり）'!$A$1:$T$64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14" i="30" l="1"/>
  <c r="L3" i="30" l="1"/>
  <c r="E48" i="30" l="1"/>
  <c r="E5" i="31"/>
  <c r="M48" i="30" l="1"/>
  <c r="I48" i="30"/>
  <c r="D31" i="31" l="1"/>
  <c r="D22" i="31"/>
  <c r="C22" i="31"/>
  <c r="E27" i="31"/>
  <c r="E29" i="31" s="1"/>
  <c r="D27" i="31"/>
  <c r="D29" i="31" s="1"/>
  <c r="C27" i="31"/>
  <c r="C29" i="31" s="1"/>
  <c r="D24" i="30"/>
  <c r="D23" i="30"/>
  <c r="D22" i="30"/>
  <c r="D21" i="30"/>
  <c r="D20" i="30"/>
  <c r="D19" i="30"/>
  <c r="D16" i="30"/>
  <c r="D15" i="30"/>
  <c r="D13" i="30"/>
  <c r="D17" i="30"/>
  <c r="D12" i="30"/>
  <c r="E9" i="31" l="1"/>
  <c r="D46" i="30" l="1"/>
  <c r="C5" i="30"/>
  <c r="M5" i="30"/>
  <c r="C39" i="30"/>
  <c r="C29" i="30"/>
  <c r="I5" i="31"/>
  <c r="C5" i="31"/>
  <c r="H5" i="31"/>
  <c r="D5" i="31"/>
  <c r="G5" i="31"/>
  <c r="J5" i="31"/>
  <c r="F5" i="31"/>
  <c r="C21" i="31"/>
  <c r="D21" i="31"/>
  <c r="E22" i="31"/>
  <c r="M22" i="31" s="1"/>
  <c r="E21" i="31"/>
  <c r="M21" i="31" s="1"/>
  <c r="M27" i="31"/>
  <c r="E19" i="31"/>
  <c r="F19" i="31" s="1"/>
  <c r="D19" i="31"/>
  <c r="C19" i="31"/>
  <c r="J18" i="31"/>
  <c r="R18" i="31" s="1"/>
  <c r="I18" i="31"/>
  <c r="Q18" i="31" s="1"/>
  <c r="H18" i="31"/>
  <c r="P18" i="31" s="1"/>
  <c r="G18" i="31"/>
  <c r="O18" i="31" s="1"/>
  <c r="F18" i="31"/>
  <c r="N18" i="31" s="1"/>
  <c r="E18" i="31"/>
  <c r="M18" i="31" s="1"/>
  <c r="D18" i="31"/>
  <c r="C18" i="31"/>
  <c r="J17" i="31"/>
  <c r="R17" i="31" s="1"/>
  <c r="I17" i="31"/>
  <c r="Q17" i="31" s="1"/>
  <c r="H17" i="31"/>
  <c r="P17" i="31" s="1"/>
  <c r="G17" i="31"/>
  <c r="O17" i="31" s="1"/>
  <c r="F17" i="31"/>
  <c r="N17" i="31" s="1"/>
  <c r="E17" i="31"/>
  <c r="M17" i="31" s="1"/>
  <c r="D17" i="31"/>
  <c r="C17" i="31"/>
  <c r="J14" i="31"/>
  <c r="R14" i="31" s="1"/>
  <c r="I14" i="31"/>
  <c r="Q14" i="31" s="1"/>
  <c r="H14" i="31"/>
  <c r="P14" i="31" s="1"/>
  <c r="G14" i="31"/>
  <c r="O14" i="31" s="1"/>
  <c r="F14" i="31"/>
  <c r="N14" i="31" s="1"/>
  <c r="E14" i="31"/>
  <c r="D14" i="31"/>
  <c r="C14" i="31"/>
  <c r="J10" i="31"/>
  <c r="R10" i="31" s="1"/>
  <c r="I10" i="31"/>
  <c r="H10" i="31"/>
  <c r="P10" i="31" s="1"/>
  <c r="G10" i="31"/>
  <c r="F10" i="31"/>
  <c r="N10" i="31" s="1"/>
  <c r="E10" i="31"/>
  <c r="D10" i="31"/>
  <c r="C10" i="31"/>
  <c r="J9" i="31"/>
  <c r="R9" i="31" s="1"/>
  <c r="I9" i="31"/>
  <c r="Q9" i="31" s="1"/>
  <c r="H9" i="31"/>
  <c r="P9" i="31" s="1"/>
  <c r="G9" i="31"/>
  <c r="O9" i="31" s="1"/>
  <c r="F9" i="31"/>
  <c r="N9" i="31" s="1"/>
  <c r="M9" i="31"/>
  <c r="D9" i="31"/>
  <c r="C9" i="31"/>
  <c r="C11" i="31" s="1"/>
  <c r="L31" i="31"/>
  <c r="L30" i="31"/>
  <c r="L29" i="31"/>
  <c r="R28" i="31"/>
  <c r="Q28" i="31"/>
  <c r="P28" i="31"/>
  <c r="O28" i="31"/>
  <c r="N28" i="31"/>
  <c r="M28" i="31"/>
  <c r="L28" i="31"/>
  <c r="L27" i="31"/>
  <c r="F27" i="31"/>
  <c r="R26" i="31"/>
  <c r="Q26" i="31"/>
  <c r="P26" i="31"/>
  <c r="O26" i="31"/>
  <c r="N26" i="31"/>
  <c r="M26" i="31"/>
  <c r="L26" i="31"/>
  <c r="L24" i="31"/>
  <c r="L23" i="31"/>
  <c r="L22" i="31"/>
  <c r="L21" i="31"/>
  <c r="L20" i="31"/>
  <c r="L19" i="31"/>
  <c r="L18" i="31"/>
  <c r="L17" i="31"/>
  <c r="L15" i="31"/>
  <c r="L14" i="31"/>
  <c r="L11" i="31"/>
  <c r="L10" i="31"/>
  <c r="L9" i="31"/>
  <c r="L6" i="31"/>
  <c r="E6" i="31"/>
  <c r="C20" i="31"/>
  <c r="D20" i="31"/>
  <c r="E20" i="31"/>
  <c r="N27" i="31" l="1"/>
  <c r="N29" i="31" s="1"/>
  <c r="F29" i="31"/>
  <c r="M29" i="31"/>
  <c r="M3" i="30"/>
  <c r="C3" i="30"/>
  <c r="E11" i="31"/>
  <c r="G11" i="31"/>
  <c r="N11" i="31"/>
  <c r="F11" i="31"/>
  <c r="P11" i="31"/>
  <c r="Q15" i="31"/>
  <c r="M15" i="31"/>
  <c r="N15" i="31"/>
  <c r="P15" i="31"/>
  <c r="O15" i="31"/>
  <c r="R15" i="31"/>
  <c r="F15" i="31"/>
  <c r="I15" i="31"/>
  <c r="G15" i="31"/>
  <c r="E15" i="31"/>
  <c r="E23" i="31" s="1"/>
  <c r="H15" i="31"/>
  <c r="H11" i="31"/>
  <c r="J11" i="31"/>
  <c r="I11" i="31"/>
  <c r="R11" i="31"/>
  <c r="D15" i="31"/>
  <c r="D23" i="31" s="1"/>
  <c r="C15" i="31"/>
  <c r="C23" i="31" s="1"/>
  <c r="C24" i="31" s="1"/>
  <c r="C30" i="31" s="1"/>
  <c r="D11" i="31"/>
  <c r="C7" i="30"/>
  <c r="M7" i="30"/>
  <c r="C41" i="30"/>
  <c r="C31" i="30"/>
  <c r="C38" i="30"/>
  <c r="C28" i="30"/>
  <c r="C4" i="30"/>
  <c r="I46" i="30"/>
  <c r="M4" i="30"/>
  <c r="C63" i="30"/>
  <c r="C6" i="30"/>
  <c r="C40" i="30"/>
  <c r="C30" i="30"/>
  <c r="M6" i="30"/>
  <c r="C42" i="30"/>
  <c r="C32" i="30"/>
  <c r="M8" i="30"/>
  <c r="C8" i="30"/>
  <c r="C9" i="30"/>
  <c r="C43" i="30"/>
  <c r="C33" i="30"/>
  <c r="M9" i="30"/>
  <c r="C10" i="30"/>
  <c r="M10" i="30"/>
  <c r="C44" i="30"/>
  <c r="C34" i="30"/>
  <c r="C37" i="30"/>
  <c r="C27" i="30"/>
  <c r="M46" i="30"/>
  <c r="M20" i="31"/>
  <c r="F20" i="31"/>
  <c r="G20" i="31" s="1"/>
  <c r="O20" i="31" s="1"/>
  <c r="F22" i="31"/>
  <c r="N22" i="31" s="1"/>
  <c r="G19" i="31"/>
  <c r="N19" i="31"/>
  <c r="D13" i="31"/>
  <c r="D8" i="31"/>
  <c r="M6" i="31"/>
  <c r="E8" i="31"/>
  <c r="M8" i="31" s="1"/>
  <c r="M10" i="31"/>
  <c r="M11" i="31" s="1"/>
  <c r="Q10" i="31"/>
  <c r="Q11" i="31" s="1"/>
  <c r="M14" i="31"/>
  <c r="M19" i="31"/>
  <c r="F21" i="31"/>
  <c r="G27" i="31"/>
  <c r="G29" i="31" s="1"/>
  <c r="E13" i="31"/>
  <c r="M13" i="31" s="1"/>
  <c r="M5" i="31"/>
  <c r="O10" i="31"/>
  <c r="O11" i="31" s="1"/>
  <c r="D24" i="31" l="1"/>
  <c r="D30" i="31" s="1"/>
  <c r="D6" i="31" s="1"/>
  <c r="C31" i="31" s="1"/>
  <c r="C6" i="31" s="1"/>
  <c r="H20" i="31"/>
  <c r="P20" i="31" s="1"/>
  <c r="N20" i="31"/>
  <c r="G22" i="31"/>
  <c r="H22" i="31" s="1"/>
  <c r="E24" i="31"/>
  <c r="E30" i="31" s="1"/>
  <c r="E31" i="31" s="1"/>
  <c r="F6" i="31" s="1"/>
  <c r="J15" i="31"/>
  <c r="F23" i="31"/>
  <c r="M23" i="31"/>
  <c r="C8" i="31"/>
  <c r="C13" i="31"/>
  <c r="H27" i="31"/>
  <c r="H29" i="31" s="1"/>
  <c r="O27" i="31"/>
  <c r="O29" i="31" s="1"/>
  <c r="N21" i="31"/>
  <c r="G21" i="31"/>
  <c r="N5" i="31"/>
  <c r="F8" i="31"/>
  <c r="N8" i="31" s="1"/>
  <c r="F13" i="31"/>
  <c r="N13" i="31" s="1"/>
  <c r="O19" i="31"/>
  <c r="H19" i="31"/>
  <c r="O22" i="31" l="1"/>
  <c r="I20" i="31"/>
  <c r="J20" i="31" s="1"/>
  <c r="R20" i="31" s="1"/>
  <c r="G23" i="31"/>
  <c r="G24" i="31" s="1"/>
  <c r="G30" i="31" s="1"/>
  <c r="N23" i="31"/>
  <c r="N24" i="31" s="1"/>
  <c r="N30" i="31" s="1"/>
  <c r="F24" i="31"/>
  <c r="F30" i="31" s="1"/>
  <c r="F31" i="31" s="1"/>
  <c r="G6" i="31" s="1"/>
  <c r="M24" i="31"/>
  <c r="M30" i="31" s="1"/>
  <c r="M31" i="31" s="1"/>
  <c r="N6" i="31" s="1"/>
  <c r="H21" i="31"/>
  <c r="H23" i="31" s="1"/>
  <c r="H24" i="31" s="1"/>
  <c r="O21" i="31"/>
  <c r="O23" i="31" s="1"/>
  <c r="O24" i="31" s="1"/>
  <c r="O30" i="31" s="1"/>
  <c r="I27" i="31"/>
  <c r="I29" i="31" s="1"/>
  <c r="P27" i="31"/>
  <c r="P29" i="31" s="1"/>
  <c r="I19" i="31"/>
  <c r="P19" i="31"/>
  <c r="I22" i="31"/>
  <c r="P22" i="31"/>
  <c r="G8" i="31"/>
  <c r="O8" i="31" s="1"/>
  <c r="G13" i="31"/>
  <c r="O13" i="31" s="1"/>
  <c r="O5" i="31"/>
  <c r="Q20" i="31" l="1"/>
  <c r="N31" i="31"/>
  <c r="O6" i="31" s="1"/>
  <c r="O31" i="31" s="1"/>
  <c r="P6" i="31" s="1"/>
  <c r="H30" i="31"/>
  <c r="G31" i="31"/>
  <c r="H6" i="31" s="1"/>
  <c r="Q27" i="31"/>
  <c r="Q29" i="31" s="1"/>
  <c r="J27" i="31"/>
  <c r="J29" i="31" s="1"/>
  <c r="J19" i="31"/>
  <c r="Q19" i="31"/>
  <c r="P21" i="31"/>
  <c r="P23" i="31" s="1"/>
  <c r="P24" i="31" s="1"/>
  <c r="P30" i="31" s="1"/>
  <c r="I21" i="31"/>
  <c r="H13" i="31"/>
  <c r="P13" i="31" s="1"/>
  <c r="H8" i="31"/>
  <c r="P8" i="31" s="1"/>
  <c r="P5" i="31"/>
  <c r="J22" i="31"/>
  <c r="R22" i="31" s="1"/>
  <c r="Q22" i="31"/>
  <c r="H31" i="31" l="1"/>
  <c r="I6" i="31" s="1"/>
  <c r="P31" i="31"/>
  <c r="Q6" i="31" s="1"/>
  <c r="R27" i="31"/>
  <c r="R29" i="31" s="1"/>
  <c r="Q5" i="31"/>
  <c r="I13" i="31"/>
  <c r="Q13" i="31" s="1"/>
  <c r="I8" i="31"/>
  <c r="Q8" i="31" s="1"/>
  <c r="Q21" i="31"/>
  <c r="Q23" i="31" s="1"/>
  <c r="Q24" i="31" s="1"/>
  <c r="Q30" i="31" s="1"/>
  <c r="J21" i="31"/>
  <c r="R21" i="31" s="1"/>
  <c r="R19" i="31"/>
  <c r="I23" i="31"/>
  <c r="I24" i="31" s="1"/>
  <c r="I30" i="31" s="1"/>
  <c r="I31" i="31" l="1"/>
  <c r="J6" i="31" s="1"/>
  <c r="J23" i="31"/>
  <c r="J24" i="31" s="1"/>
  <c r="J30" i="31" s="1"/>
  <c r="R23" i="31"/>
  <c r="R24" i="31" s="1"/>
  <c r="R30" i="31" s="1"/>
  <c r="Q31" i="31"/>
  <c r="R6" i="31" s="1"/>
  <c r="R5" i="31"/>
  <c r="J8" i="31"/>
  <c r="R8" i="31" s="1"/>
  <c r="J13" i="31"/>
  <c r="R13" i="31" s="1"/>
  <c r="J31" i="31" l="1"/>
  <c r="R31" i="31"/>
  <c r="C6" i="24" l="1"/>
  <c r="L28" i="26"/>
  <c r="L27" i="26"/>
  <c r="L26" i="26"/>
  <c r="L25" i="26"/>
  <c r="L24" i="26"/>
  <c r="C24" i="26"/>
  <c r="C26" i="26" s="1"/>
  <c r="R23" i="26"/>
  <c r="Q23" i="26"/>
  <c r="P23" i="26"/>
  <c r="O23" i="26"/>
  <c r="N23" i="26"/>
  <c r="M23" i="26"/>
  <c r="L23" i="26"/>
  <c r="L22" i="26"/>
  <c r="L21" i="26"/>
  <c r="L20" i="26"/>
  <c r="E20" i="26"/>
  <c r="F20" i="26" s="1"/>
  <c r="D20" i="26"/>
  <c r="C20" i="26"/>
  <c r="L19" i="26"/>
  <c r="E19" i="26"/>
  <c r="M19" i="26" s="1"/>
  <c r="D19" i="26"/>
  <c r="C19" i="26"/>
  <c r="L18" i="26"/>
  <c r="E18" i="26"/>
  <c r="M18" i="26" s="1"/>
  <c r="D18" i="26"/>
  <c r="C18" i="26"/>
  <c r="L17" i="26"/>
  <c r="E17" i="26"/>
  <c r="M17" i="26" s="1"/>
  <c r="D17" i="26"/>
  <c r="C17" i="26"/>
  <c r="L15" i="26"/>
  <c r="D15" i="26"/>
  <c r="C15" i="26"/>
  <c r="L14" i="26"/>
  <c r="J14" i="26"/>
  <c r="R14" i="26" s="1"/>
  <c r="I14" i="26"/>
  <c r="Q14" i="26" s="1"/>
  <c r="H14" i="26"/>
  <c r="P14" i="26" s="1"/>
  <c r="G14" i="26"/>
  <c r="O14" i="26" s="1"/>
  <c r="F14" i="26"/>
  <c r="N14" i="26" s="1"/>
  <c r="E14" i="26"/>
  <c r="M15" i="26" s="1"/>
  <c r="D14" i="26"/>
  <c r="C14" i="26"/>
  <c r="L11" i="26"/>
  <c r="D11" i="26"/>
  <c r="C11" i="26"/>
  <c r="R10" i="26"/>
  <c r="Q10" i="26"/>
  <c r="P10" i="26"/>
  <c r="O10" i="26"/>
  <c r="N10" i="26"/>
  <c r="M10" i="26"/>
  <c r="L10" i="26"/>
  <c r="L9" i="26"/>
  <c r="J9" i="26"/>
  <c r="R9" i="26" s="1"/>
  <c r="I9" i="26"/>
  <c r="Q9" i="26" s="1"/>
  <c r="H9" i="26"/>
  <c r="P9" i="26" s="1"/>
  <c r="G9" i="26"/>
  <c r="O9" i="26" s="1"/>
  <c r="F9" i="26"/>
  <c r="N9" i="26" s="1"/>
  <c r="E9" i="26"/>
  <c r="D9" i="26"/>
  <c r="C9" i="26"/>
  <c r="E8" i="26"/>
  <c r="M8" i="26" s="1"/>
  <c r="L6" i="26"/>
  <c r="C6" i="26"/>
  <c r="E5" i="26"/>
  <c r="D5" i="26" s="1"/>
  <c r="C5" i="26" s="1"/>
  <c r="L28" i="24"/>
  <c r="L27" i="24"/>
  <c r="L26" i="24"/>
  <c r="L25" i="24"/>
  <c r="L24" i="24"/>
  <c r="C24" i="24"/>
  <c r="C26" i="24" s="1"/>
  <c r="R23" i="24"/>
  <c r="Q23" i="24"/>
  <c r="P23" i="24"/>
  <c r="O23" i="24"/>
  <c r="N23" i="24"/>
  <c r="M23" i="24"/>
  <c r="L23" i="24"/>
  <c r="L22" i="24"/>
  <c r="L21" i="24"/>
  <c r="L20" i="24"/>
  <c r="E20" i="24"/>
  <c r="M20" i="24" s="1"/>
  <c r="D20" i="24"/>
  <c r="C20" i="24"/>
  <c r="L19" i="24"/>
  <c r="E19" i="24"/>
  <c r="F19" i="24" s="1"/>
  <c r="D19" i="24"/>
  <c r="C19" i="24"/>
  <c r="L18" i="24"/>
  <c r="E18" i="24"/>
  <c r="M18" i="24" s="1"/>
  <c r="D18" i="24"/>
  <c r="C18" i="24"/>
  <c r="L17" i="24"/>
  <c r="E17" i="24"/>
  <c r="M17" i="24" s="1"/>
  <c r="D17" i="24"/>
  <c r="C17" i="24"/>
  <c r="L15" i="24"/>
  <c r="D15" i="24"/>
  <c r="C15" i="24"/>
  <c r="L14" i="24"/>
  <c r="J14" i="24"/>
  <c r="R14" i="24" s="1"/>
  <c r="I14" i="24"/>
  <c r="Q14" i="24" s="1"/>
  <c r="H14" i="24"/>
  <c r="P14" i="24" s="1"/>
  <c r="G14" i="24"/>
  <c r="O14" i="24" s="1"/>
  <c r="F14" i="24"/>
  <c r="N14" i="24" s="1"/>
  <c r="E14" i="24"/>
  <c r="D14" i="24"/>
  <c r="C14" i="24"/>
  <c r="L11" i="24"/>
  <c r="D11" i="24"/>
  <c r="C11" i="24"/>
  <c r="R10" i="24"/>
  <c r="Q10" i="24"/>
  <c r="P10" i="24"/>
  <c r="O10" i="24"/>
  <c r="N10" i="24"/>
  <c r="M10" i="24"/>
  <c r="L10" i="24"/>
  <c r="L9" i="24"/>
  <c r="J9" i="24"/>
  <c r="R9" i="24" s="1"/>
  <c r="I9" i="24"/>
  <c r="Q9" i="24" s="1"/>
  <c r="H9" i="24"/>
  <c r="P9" i="24" s="1"/>
  <c r="G9" i="24"/>
  <c r="O9" i="24" s="1"/>
  <c r="F9" i="24"/>
  <c r="N9" i="24" s="1"/>
  <c r="E9" i="24"/>
  <c r="M9" i="24" s="1"/>
  <c r="D9" i="24"/>
  <c r="C9" i="24"/>
  <c r="E8" i="24"/>
  <c r="M8" i="24" s="1"/>
  <c r="L6" i="24"/>
  <c r="E5" i="24"/>
  <c r="D5" i="24" s="1"/>
  <c r="C5" i="24" s="1"/>
  <c r="M11" i="24" l="1"/>
  <c r="D24" i="26"/>
  <c r="E24" i="26" s="1"/>
  <c r="M24" i="26" s="1"/>
  <c r="M26" i="26" s="1"/>
  <c r="G11" i="24"/>
  <c r="O11" i="26"/>
  <c r="M20" i="26"/>
  <c r="M21" i="26" s="1"/>
  <c r="P15" i="24"/>
  <c r="G11" i="26"/>
  <c r="C21" i="24"/>
  <c r="C22" i="24" s="1"/>
  <c r="C27" i="24" s="1"/>
  <c r="C28" i="24" s="1"/>
  <c r="D6" i="24" s="1"/>
  <c r="F20" i="24"/>
  <c r="P15" i="26"/>
  <c r="C21" i="26"/>
  <c r="C22" i="26" s="1"/>
  <c r="C27" i="26" s="1"/>
  <c r="C28" i="26" s="1"/>
  <c r="D6" i="26" s="1"/>
  <c r="F19" i="26"/>
  <c r="N11" i="24"/>
  <c r="R11" i="24"/>
  <c r="M15" i="24"/>
  <c r="F18" i="24"/>
  <c r="N18" i="24" s="1"/>
  <c r="D24" i="24"/>
  <c r="E24" i="24" s="1"/>
  <c r="F24" i="24" s="1"/>
  <c r="P11" i="26"/>
  <c r="F18" i="26"/>
  <c r="N18" i="26" s="1"/>
  <c r="P11" i="24"/>
  <c r="D21" i="24"/>
  <c r="D22" i="24" s="1"/>
  <c r="N11" i="26"/>
  <c r="R11" i="26"/>
  <c r="M11" i="26"/>
  <c r="D21" i="26"/>
  <c r="D22" i="26" s="1"/>
  <c r="D8" i="26"/>
  <c r="C8" i="26" s="1"/>
  <c r="E13" i="26"/>
  <c r="D13" i="26" s="1"/>
  <c r="C13" i="26" s="1"/>
  <c r="G20" i="26"/>
  <c r="N20" i="26"/>
  <c r="H11" i="26"/>
  <c r="Q15" i="26"/>
  <c r="E11" i="26"/>
  <c r="I11" i="26"/>
  <c r="M14" i="26"/>
  <c r="E15" i="26"/>
  <c r="E21" i="26" s="1"/>
  <c r="I15" i="26"/>
  <c r="N15" i="26"/>
  <c r="R15" i="26"/>
  <c r="F17" i="26"/>
  <c r="Q11" i="26"/>
  <c r="H15" i="26"/>
  <c r="M5" i="26"/>
  <c r="F8" i="26"/>
  <c r="M9" i="26"/>
  <c r="F11" i="26"/>
  <c r="J11" i="26"/>
  <c r="F15" i="26"/>
  <c r="J15" i="26"/>
  <c r="O15" i="26"/>
  <c r="F5" i="26"/>
  <c r="G15" i="26"/>
  <c r="D8" i="24"/>
  <c r="C8" i="24" s="1"/>
  <c r="E13" i="24"/>
  <c r="D13" i="24" s="1"/>
  <c r="C13" i="24" s="1"/>
  <c r="G19" i="24"/>
  <c r="N19" i="24"/>
  <c r="E11" i="24"/>
  <c r="I11" i="24"/>
  <c r="M14" i="24"/>
  <c r="E15" i="24"/>
  <c r="E21" i="24" s="1"/>
  <c r="I15" i="24"/>
  <c r="N15" i="24"/>
  <c r="R15" i="24"/>
  <c r="F17" i="24"/>
  <c r="M19" i="24"/>
  <c r="Q11" i="24"/>
  <c r="Q15" i="24"/>
  <c r="F5" i="24"/>
  <c r="F11" i="24"/>
  <c r="J11" i="24"/>
  <c r="O11" i="24"/>
  <c r="F15" i="24"/>
  <c r="J15" i="24"/>
  <c r="O15" i="24"/>
  <c r="H11" i="24"/>
  <c r="H15" i="24"/>
  <c r="M5" i="24"/>
  <c r="F8" i="24"/>
  <c r="G15" i="24"/>
  <c r="E26" i="24" l="1"/>
  <c r="M21" i="24"/>
  <c r="M22" i="24" s="1"/>
  <c r="G18" i="26"/>
  <c r="H18" i="26" s="1"/>
  <c r="G18" i="24"/>
  <c r="H18" i="24" s="1"/>
  <c r="F21" i="26"/>
  <c r="F22" i="26" s="1"/>
  <c r="E26" i="26"/>
  <c r="F24" i="26"/>
  <c r="G24" i="26" s="1"/>
  <c r="D26" i="26"/>
  <c r="D27" i="26" s="1"/>
  <c r="D28" i="26" s="1"/>
  <c r="E6" i="26" s="1"/>
  <c r="M22" i="26"/>
  <c r="M27" i="26" s="1"/>
  <c r="M24" i="24"/>
  <c r="M26" i="24" s="1"/>
  <c r="F21" i="24"/>
  <c r="F22" i="24" s="1"/>
  <c r="E22" i="24"/>
  <c r="N20" i="24"/>
  <c r="G20" i="24"/>
  <c r="D26" i="24"/>
  <c r="D27" i="24" s="1"/>
  <c r="D28" i="24" s="1"/>
  <c r="E6" i="24" s="1"/>
  <c r="N19" i="26"/>
  <c r="G19" i="26"/>
  <c r="M13" i="26"/>
  <c r="N5" i="26"/>
  <c r="G5" i="26"/>
  <c r="G8" i="26"/>
  <c r="F13" i="26"/>
  <c r="N13" i="26" s="1"/>
  <c r="N8" i="26"/>
  <c r="E22" i="26"/>
  <c r="G17" i="26"/>
  <c r="N17" i="26"/>
  <c r="O20" i="26"/>
  <c r="H20" i="26"/>
  <c r="M13" i="24"/>
  <c r="G8" i="24"/>
  <c r="F13" i="24"/>
  <c r="N13" i="24" s="1"/>
  <c r="N8" i="24"/>
  <c r="G24" i="24"/>
  <c r="F26" i="24"/>
  <c r="N24" i="24"/>
  <c r="N26" i="24" s="1"/>
  <c r="N17" i="24"/>
  <c r="G17" i="24"/>
  <c r="N5" i="24"/>
  <c r="G5" i="24"/>
  <c r="O19" i="24"/>
  <c r="H19" i="24"/>
  <c r="E27" i="24" l="1"/>
  <c r="E28" i="24" s="1"/>
  <c r="F6" i="24" s="1"/>
  <c r="O18" i="26"/>
  <c r="O18" i="24"/>
  <c r="M27" i="24"/>
  <c r="N24" i="26"/>
  <c r="N26" i="26" s="1"/>
  <c r="F26" i="26"/>
  <c r="F27" i="26" s="1"/>
  <c r="N21" i="24"/>
  <c r="N22" i="24" s="1"/>
  <c r="N27" i="24" s="1"/>
  <c r="E27" i="26"/>
  <c r="E28" i="26" s="1"/>
  <c r="F6" i="26" s="1"/>
  <c r="F27" i="24"/>
  <c r="G21" i="26"/>
  <c r="G22" i="26" s="1"/>
  <c r="M6" i="24"/>
  <c r="N21" i="26"/>
  <c r="N22" i="26" s="1"/>
  <c r="O19" i="26"/>
  <c r="H19" i="26"/>
  <c r="O20" i="24"/>
  <c r="H20" i="24"/>
  <c r="M6" i="26"/>
  <c r="M28" i="26" s="1"/>
  <c r="N6" i="26" s="1"/>
  <c r="P20" i="26"/>
  <c r="I20" i="26"/>
  <c r="H17" i="26"/>
  <c r="O17" i="26"/>
  <c r="H8" i="26"/>
  <c r="G13" i="26"/>
  <c r="O13" i="26" s="1"/>
  <c r="O8" i="26"/>
  <c r="I18" i="26"/>
  <c r="P18" i="26"/>
  <c r="H5" i="26"/>
  <c r="O5" i="26"/>
  <c r="G26" i="26"/>
  <c r="O24" i="26"/>
  <c r="O26" i="26" s="1"/>
  <c r="H24" i="26"/>
  <c r="P19" i="24"/>
  <c r="I19" i="24"/>
  <c r="I18" i="24"/>
  <c r="P18" i="24"/>
  <c r="H17" i="24"/>
  <c r="O17" i="24"/>
  <c r="H5" i="24"/>
  <c r="O5" i="24"/>
  <c r="G21" i="24"/>
  <c r="G22" i="24" s="1"/>
  <c r="G26" i="24"/>
  <c r="O24" i="24"/>
  <c r="O26" i="24" s="1"/>
  <c r="H24" i="24"/>
  <c r="G13" i="24"/>
  <c r="O13" i="24" s="1"/>
  <c r="H8" i="24"/>
  <c r="O8" i="24"/>
  <c r="N27" i="26" l="1"/>
  <c r="N28" i="26" s="1"/>
  <c r="O6" i="26" s="1"/>
  <c r="M28" i="24"/>
  <c r="N6" i="24" s="1"/>
  <c r="N28" i="24" s="1"/>
  <c r="O6" i="24" s="1"/>
  <c r="O21" i="24"/>
  <c r="O22" i="24" s="1"/>
  <c r="O27" i="24" s="1"/>
  <c r="F28" i="26"/>
  <c r="G6" i="26" s="1"/>
  <c r="F28" i="24"/>
  <c r="G6" i="24" s="1"/>
  <c r="G27" i="26"/>
  <c r="P20" i="24"/>
  <c r="I20" i="24"/>
  <c r="O21" i="26"/>
  <c r="O22" i="26" s="1"/>
  <c r="O27" i="26" s="1"/>
  <c r="I19" i="26"/>
  <c r="P19" i="26"/>
  <c r="H13" i="26"/>
  <c r="P13" i="26" s="1"/>
  <c r="P8" i="26"/>
  <c r="I8" i="26"/>
  <c r="I17" i="26"/>
  <c r="P17" i="26"/>
  <c r="H21" i="26"/>
  <c r="H22" i="26" s="1"/>
  <c r="J20" i="26"/>
  <c r="R20" i="26" s="1"/>
  <c r="Q20" i="26"/>
  <c r="P24" i="26"/>
  <c r="P26" i="26" s="1"/>
  <c r="H26" i="26"/>
  <c r="I24" i="26"/>
  <c r="P5" i="26"/>
  <c r="I5" i="26"/>
  <c r="J18" i="26"/>
  <c r="R18" i="26" s="1"/>
  <c r="Q18" i="26"/>
  <c r="H13" i="24"/>
  <c r="P13" i="24" s="1"/>
  <c r="P8" i="24"/>
  <c r="I8" i="24"/>
  <c r="J19" i="24"/>
  <c r="R19" i="24" s="1"/>
  <c r="Q19" i="24"/>
  <c r="G27" i="24"/>
  <c r="P17" i="24"/>
  <c r="I17" i="24"/>
  <c r="H21" i="24"/>
  <c r="H22" i="24" s="1"/>
  <c r="P24" i="24"/>
  <c r="P26" i="24" s="1"/>
  <c r="H26" i="24"/>
  <c r="I24" i="24"/>
  <c r="P5" i="24"/>
  <c r="I5" i="24"/>
  <c r="Q18" i="24"/>
  <c r="J18" i="24"/>
  <c r="R18" i="24" s="1"/>
  <c r="G28" i="24" l="1"/>
  <c r="H6" i="24" s="1"/>
  <c r="P21" i="26"/>
  <c r="P22" i="26" s="1"/>
  <c r="P27" i="26" s="1"/>
  <c r="G28" i="26"/>
  <c r="H6" i="26" s="1"/>
  <c r="O28" i="24"/>
  <c r="P6" i="24" s="1"/>
  <c r="P21" i="24"/>
  <c r="P22" i="24" s="1"/>
  <c r="P27" i="24" s="1"/>
  <c r="O28" i="26"/>
  <c r="P6" i="26" s="1"/>
  <c r="Q20" i="24"/>
  <c r="J20" i="24"/>
  <c r="R20" i="24" s="1"/>
  <c r="J19" i="26"/>
  <c r="R19" i="26" s="1"/>
  <c r="Q19" i="26"/>
  <c r="Q8" i="26"/>
  <c r="I13" i="26"/>
  <c r="Q13" i="26" s="1"/>
  <c r="J8" i="26"/>
  <c r="Q5" i="26"/>
  <c r="J5" i="26"/>
  <c r="R5" i="26" s="1"/>
  <c r="H27" i="26"/>
  <c r="J24" i="26"/>
  <c r="I26" i="26"/>
  <c r="Q24" i="26"/>
  <c r="Q26" i="26" s="1"/>
  <c r="Q17" i="26"/>
  <c r="J17" i="26"/>
  <c r="I21" i="26"/>
  <c r="I22" i="26" s="1"/>
  <c r="I27" i="26" s="1"/>
  <c r="Q8" i="24"/>
  <c r="J8" i="24"/>
  <c r="I13" i="24"/>
  <c r="Q13" i="24" s="1"/>
  <c r="J5" i="24"/>
  <c r="R5" i="24" s="1"/>
  <c r="Q5" i="24"/>
  <c r="H27" i="24"/>
  <c r="Q24" i="24"/>
  <c r="Q26" i="24" s="1"/>
  <c r="J24" i="24"/>
  <c r="I26" i="24"/>
  <c r="Q17" i="24"/>
  <c r="J17" i="24"/>
  <c r="I21" i="24"/>
  <c r="I22" i="24" s="1"/>
  <c r="H28" i="24" l="1"/>
  <c r="I6" i="24" s="1"/>
  <c r="H28" i="26"/>
  <c r="I6" i="26" s="1"/>
  <c r="I28" i="26" s="1"/>
  <c r="J6" i="26" s="1"/>
  <c r="Q21" i="26"/>
  <c r="Q22" i="26" s="1"/>
  <c r="Q27" i="26" s="1"/>
  <c r="Q21" i="24"/>
  <c r="Q22" i="24" s="1"/>
  <c r="Q27" i="24" s="1"/>
  <c r="P28" i="24"/>
  <c r="Q6" i="24" s="1"/>
  <c r="I27" i="24"/>
  <c r="P28" i="26"/>
  <c r="Q6" i="26" s="1"/>
  <c r="R17" i="26"/>
  <c r="R21" i="26" s="1"/>
  <c r="R22" i="26" s="1"/>
  <c r="J21" i="26"/>
  <c r="J22" i="26" s="1"/>
  <c r="J26" i="26"/>
  <c r="R24" i="26"/>
  <c r="R26" i="26" s="1"/>
  <c r="R8" i="26"/>
  <c r="J13" i="26"/>
  <c r="R13" i="26" s="1"/>
  <c r="R8" i="24"/>
  <c r="J13" i="24"/>
  <c r="R13" i="24" s="1"/>
  <c r="J26" i="24"/>
  <c r="R24" i="24"/>
  <c r="R26" i="24" s="1"/>
  <c r="R17" i="24"/>
  <c r="R21" i="24" s="1"/>
  <c r="R22" i="24" s="1"/>
  <c r="J21" i="24"/>
  <c r="J22" i="24" s="1"/>
  <c r="I28" i="24" l="1"/>
  <c r="J6" i="24" s="1"/>
  <c r="Q28" i="24"/>
  <c r="R6" i="24" s="1"/>
  <c r="J27" i="24"/>
  <c r="Q28" i="26"/>
  <c r="R6" i="26" s="1"/>
  <c r="J27" i="26"/>
  <c r="J28" i="26" s="1"/>
  <c r="R27" i="26"/>
  <c r="R27" i="24"/>
  <c r="J28" i="24" l="1"/>
  <c r="R28" i="24"/>
  <c r="R28" i="26"/>
  <c r="J35" i="18" l="1"/>
  <c r="H35" i="18"/>
  <c r="H34" i="18"/>
  <c r="J34" i="18"/>
  <c r="J33" i="18"/>
  <c r="C35" i="18"/>
  <c r="E35" i="18"/>
  <c r="E34" i="18"/>
  <c r="C34" i="18"/>
  <c r="E33" i="18"/>
  <c r="J26" i="18" l="1"/>
  <c r="C22" i="18" l="1"/>
  <c r="D22" i="18" s="1"/>
  <c r="C21" i="18"/>
  <c r="K21" i="18" s="1"/>
  <c r="C25" i="18"/>
  <c r="K25" i="18" s="1"/>
  <c r="C20" i="18"/>
  <c r="D20" i="18" s="1"/>
  <c r="L20" i="18" s="1"/>
  <c r="C19" i="18"/>
  <c r="D19" i="18" s="1"/>
  <c r="C18" i="18"/>
  <c r="D18" i="18" s="1"/>
  <c r="H17" i="18"/>
  <c r="P17" i="18" s="1"/>
  <c r="G17" i="18"/>
  <c r="O17" i="18" s="1"/>
  <c r="F17" i="18"/>
  <c r="N17" i="18" s="1"/>
  <c r="E17" i="18"/>
  <c r="M17" i="18" s="1"/>
  <c r="D17" i="18"/>
  <c r="L17" i="18" s="1"/>
  <c r="C17" i="18"/>
  <c r="H16" i="18"/>
  <c r="P16" i="18" s="1"/>
  <c r="G16" i="18"/>
  <c r="O16" i="18" s="1"/>
  <c r="F16" i="18"/>
  <c r="N16" i="18" s="1"/>
  <c r="E16" i="18"/>
  <c r="M16" i="18" s="1"/>
  <c r="D16" i="18"/>
  <c r="L16" i="18" s="1"/>
  <c r="C16" i="18"/>
  <c r="H13" i="18"/>
  <c r="P13" i="18" s="1"/>
  <c r="G13" i="18"/>
  <c r="F13" i="18"/>
  <c r="N13" i="18" s="1"/>
  <c r="E13" i="18"/>
  <c r="D13" i="18"/>
  <c r="L13" i="18" s="1"/>
  <c r="C13" i="18"/>
  <c r="H9" i="18"/>
  <c r="P9" i="18" s="1"/>
  <c r="G9" i="18"/>
  <c r="F9" i="18"/>
  <c r="N9" i="18" s="1"/>
  <c r="E9" i="18"/>
  <c r="M9" i="18" s="1"/>
  <c r="D9" i="18"/>
  <c r="C9" i="18"/>
  <c r="C6" i="18"/>
  <c r="K6" i="18" s="1"/>
  <c r="J27" i="18"/>
  <c r="J24" i="18"/>
  <c r="J23" i="18"/>
  <c r="J22" i="18"/>
  <c r="J21" i="18"/>
  <c r="D21" i="18"/>
  <c r="J25" i="18"/>
  <c r="J20" i="18"/>
  <c r="J19" i="18"/>
  <c r="K18" i="18"/>
  <c r="J18" i="18"/>
  <c r="J17" i="18"/>
  <c r="K17" i="18"/>
  <c r="K16" i="18"/>
  <c r="J14" i="18"/>
  <c r="J13" i="18"/>
  <c r="C12" i="18"/>
  <c r="D12" i="18" s="1"/>
  <c r="L12" i="18" s="1"/>
  <c r="J10" i="18"/>
  <c r="J9" i="18"/>
  <c r="C8" i="18"/>
  <c r="J6" i="18"/>
  <c r="C5" i="18"/>
  <c r="K5" i="18" s="1"/>
  <c r="K13" i="18" l="1"/>
  <c r="C14" i="18"/>
  <c r="K14" i="18" s="1"/>
  <c r="C10" i="18"/>
  <c r="K9" i="18"/>
  <c r="K22" i="18"/>
  <c r="F10" i="18"/>
  <c r="N10" i="18" s="1"/>
  <c r="D14" i="18"/>
  <c r="L9" i="18"/>
  <c r="D10" i="18"/>
  <c r="C23" i="18"/>
  <c r="G14" i="18"/>
  <c r="O14" i="18" s="1"/>
  <c r="H14" i="18"/>
  <c r="P14" i="18" s="1"/>
  <c r="K20" i="18"/>
  <c r="L19" i="18"/>
  <c r="E19" i="18"/>
  <c r="M19" i="18" s="1"/>
  <c r="K19" i="18"/>
  <c r="O13" i="18"/>
  <c r="H10" i="18"/>
  <c r="P10" i="18" s="1"/>
  <c r="E10" i="18"/>
  <c r="M10" i="18" s="1"/>
  <c r="K12" i="18"/>
  <c r="D5" i="18"/>
  <c r="L5" i="18" s="1"/>
  <c r="L10" i="18"/>
  <c r="L14" i="18"/>
  <c r="F14" i="18"/>
  <c r="E21" i="18"/>
  <c r="L21" i="18"/>
  <c r="E22" i="18"/>
  <c r="L22" i="18"/>
  <c r="E18" i="18"/>
  <c r="L18" i="18"/>
  <c r="K8" i="18"/>
  <c r="D8" i="18"/>
  <c r="M13" i="18"/>
  <c r="E14" i="18"/>
  <c r="O9" i="18"/>
  <c r="G10" i="18"/>
  <c r="E12" i="18"/>
  <c r="E20" i="18"/>
  <c r="D25" i="18"/>
  <c r="F19" i="18" l="1"/>
  <c r="N19" i="18" s="1"/>
  <c r="D23" i="18"/>
  <c r="D24" i="18" s="1"/>
  <c r="C24" i="18"/>
  <c r="C27" i="18" s="1"/>
  <c r="D6" i="18" s="1"/>
  <c r="K23" i="18"/>
  <c r="E5" i="18"/>
  <c r="F5" i="18" s="1"/>
  <c r="N14" i="18"/>
  <c r="L23" i="18"/>
  <c r="L24" i="18" s="1"/>
  <c r="M18" i="18"/>
  <c r="F18" i="18"/>
  <c r="M22" i="18"/>
  <c r="F22" i="18"/>
  <c r="O10" i="18"/>
  <c r="L8" i="18"/>
  <c r="E8" i="18"/>
  <c r="E25" i="18"/>
  <c r="E23" i="18" s="1"/>
  <c r="E24" i="18" s="1"/>
  <c r="L25" i="18"/>
  <c r="M12" i="18"/>
  <c r="F12" i="18"/>
  <c r="M21" i="18"/>
  <c r="F21" i="18"/>
  <c r="M20" i="18"/>
  <c r="F20" i="18"/>
  <c r="K10" i="18"/>
  <c r="M14" i="18"/>
  <c r="G19" i="18" l="1"/>
  <c r="O19" i="18" s="1"/>
  <c r="D27" i="18"/>
  <c r="E6" i="18" s="1"/>
  <c r="E27" i="18" s="1"/>
  <c r="F6" i="18" s="1"/>
  <c r="K24" i="18"/>
  <c r="M5" i="18"/>
  <c r="F8" i="18"/>
  <c r="M8" i="18"/>
  <c r="F25" i="18"/>
  <c r="F23" i="18" s="1"/>
  <c r="F24" i="18" s="1"/>
  <c r="M25" i="18"/>
  <c r="M23" i="18" s="1"/>
  <c r="M24" i="18" s="1"/>
  <c r="H19" i="18"/>
  <c r="P19" i="18" s="1"/>
  <c r="N21" i="18"/>
  <c r="G21" i="18"/>
  <c r="N22" i="18"/>
  <c r="G22" i="18"/>
  <c r="G20" i="18"/>
  <c r="N20" i="18"/>
  <c r="N12" i="18"/>
  <c r="G12" i="18"/>
  <c r="N18" i="18"/>
  <c r="G18" i="18"/>
  <c r="G5" i="18"/>
  <c r="N5" i="18"/>
  <c r="F27" i="18" l="1"/>
  <c r="G6" i="18" s="1"/>
  <c r="K27" i="18"/>
  <c r="L6" i="18" s="1"/>
  <c r="O5" i="18"/>
  <c r="H5" i="18"/>
  <c r="P5" i="18" s="1"/>
  <c r="H20" i="18"/>
  <c r="P20" i="18" s="1"/>
  <c r="O20" i="18"/>
  <c r="G25" i="18"/>
  <c r="N25" i="18"/>
  <c r="N23" i="18" s="1"/>
  <c r="N24" i="18" s="1"/>
  <c r="N8" i="18"/>
  <c r="G8" i="18"/>
  <c r="O21" i="18"/>
  <c r="H21" i="18"/>
  <c r="P21" i="18" s="1"/>
  <c r="H12" i="18"/>
  <c r="P12" i="18" s="1"/>
  <c r="O12" i="18"/>
  <c r="H18" i="18"/>
  <c r="O18" i="18"/>
  <c r="H22" i="18"/>
  <c r="P22" i="18" s="1"/>
  <c r="O22" i="18"/>
  <c r="L27" i="18" l="1"/>
  <c r="M6" i="18" s="1"/>
  <c r="M27" i="18" s="1"/>
  <c r="N6" i="18" s="1"/>
  <c r="N27" i="18" s="1"/>
  <c r="O6" i="18" s="1"/>
  <c r="P18" i="18"/>
  <c r="O25" i="18"/>
  <c r="O23" i="18" s="1"/>
  <c r="O24" i="18" s="1"/>
  <c r="H25" i="18"/>
  <c r="P25" i="18" s="1"/>
  <c r="G23" i="18"/>
  <c r="G24" i="18" s="1"/>
  <c r="O8" i="18"/>
  <c r="H8" i="18"/>
  <c r="P8" i="18" s="1"/>
  <c r="O27" i="18" l="1"/>
  <c r="P6" i="18" s="1"/>
  <c r="G27" i="18"/>
  <c r="H6" i="18" s="1"/>
  <c r="H23" i="18"/>
  <c r="H24" i="18" s="1"/>
  <c r="P23" i="18"/>
  <c r="P24" i="18" s="1"/>
  <c r="H27" i="18" l="1"/>
  <c r="P27" i="18"/>
  <c r="G36" i="9" l="1"/>
  <c r="F36" i="9"/>
  <c r="E36" i="9"/>
  <c r="D36" i="9"/>
  <c r="C36" i="9"/>
  <c r="B36" i="9"/>
  <c r="G30" i="9"/>
  <c r="F30" i="9"/>
  <c r="F32" i="9" s="1"/>
  <c r="E30" i="9"/>
  <c r="D30" i="9"/>
  <c r="C30" i="9"/>
  <c r="B30" i="9"/>
  <c r="B32" i="9" s="1"/>
  <c r="G22" i="9"/>
  <c r="G31" i="9" s="1"/>
  <c r="G37" i="9" s="1"/>
  <c r="F22" i="9"/>
  <c r="E22" i="9"/>
  <c r="E32" i="9" s="1"/>
  <c r="D22" i="9"/>
  <c r="D32" i="9" s="1"/>
  <c r="C22" i="9"/>
  <c r="C31" i="9" s="1"/>
  <c r="C37" i="9" s="1"/>
  <c r="B22" i="9"/>
  <c r="B12" i="9"/>
  <c r="B10" i="9"/>
  <c r="B8" i="9"/>
  <c r="B6" i="9"/>
  <c r="G4" i="9"/>
  <c r="E4" i="9"/>
  <c r="G3" i="9"/>
  <c r="G2" i="9"/>
  <c r="E2" i="9"/>
  <c r="B2" i="9"/>
  <c r="B31" i="9" l="1"/>
  <c r="B37" i="9" s="1"/>
  <c r="B38" i="9" s="1"/>
  <c r="C17" i="9" s="1"/>
  <c r="C38" i="9" s="1"/>
  <c r="D17" i="9" s="1"/>
  <c r="F31" i="9"/>
  <c r="F37" i="9" s="1"/>
  <c r="E31" i="9"/>
  <c r="E37" i="9" s="1"/>
  <c r="C32" i="9"/>
  <c r="G32" i="9"/>
  <c r="D31" i="9"/>
  <c r="D37" i="9" s="1"/>
  <c r="D38" i="9" s="1"/>
  <c r="E17" i="9" s="1"/>
  <c r="E38" i="9" l="1"/>
  <c r="F17" i="9" s="1"/>
  <c r="F38" i="9" s="1"/>
  <c r="G17" i="9" s="1"/>
  <c r="G38" i="9" s="1"/>
</calcChain>
</file>

<file path=xl/sharedStrings.xml><?xml version="1.0" encoding="utf-8"?>
<sst xmlns="http://schemas.openxmlformats.org/spreadsheetml/2006/main" count="786" uniqueCount="242">
  <si>
    <t>顧客名</t>
    <rPh sb="0" eb="2">
      <t>コキャク</t>
    </rPh>
    <rPh sb="2" eb="3">
      <t>メイ</t>
    </rPh>
    <phoneticPr fontId="3"/>
  </si>
  <si>
    <t>代表者氏名</t>
    <rPh sb="0" eb="3">
      <t>ダイヒョウシャ</t>
    </rPh>
    <rPh sb="3" eb="5">
      <t>シメイ</t>
    </rPh>
    <phoneticPr fontId="3"/>
  </si>
  <si>
    <t>年齢</t>
    <rPh sb="0" eb="2">
      <t>ネンレイ</t>
    </rPh>
    <phoneticPr fontId="3"/>
  </si>
  <si>
    <t>資本金</t>
    <rPh sb="0" eb="3">
      <t>シホンキン</t>
    </rPh>
    <phoneticPr fontId="3"/>
  </si>
  <si>
    <t>万円</t>
    <rPh sb="0" eb="2">
      <t>マンエン</t>
    </rPh>
    <phoneticPr fontId="3"/>
  </si>
  <si>
    <t>年商</t>
    <rPh sb="0" eb="2">
      <t>ネンショウ</t>
    </rPh>
    <phoneticPr fontId="3"/>
  </si>
  <si>
    <t>従業員数</t>
    <rPh sb="0" eb="3">
      <t>ジュウギョウイン</t>
    </rPh>
    <rPh sb="3" eb="4">
      <t>スウ</t>
    </rPh>
    <phoneticPr fontId="3"/>
  </si>
  <si>
    <t>事業承継予定者</t>
    <rPh sb="0" eb="2">
      <t>ジギョウ</t>
    </rPh>
    <rPh sb="2" eb="4">
      <t>ショウケイ</t>
    </rPh>
    <rPh sb="4" eb="7">
      <t>ヨテイシャ</t>
    </rPh>
    <phoneticPr fontId="3"/>
  </si>
  <si>
    <t>主要金融機関</t>
    <rPh sb="0" eb="2">
      <t>シュヨウ</t>
    </rPh>
    <rPh sb="2" eb="4">
      <t>キンユウ</t>
    </rPh>
    <rPh sb="4" eb="6">
      <t>キカン</t>
    </rPh>
    <phoneticPr fontId="3"/>
  </si>
  <si>
    <t>沿革</t>
    <rPh sb="0" eb="2">
      <t>エンカク</t>
    </rPh>
    <phoneticPr fontId="3"/>
  </si>
  <si>
    <t>事業内容</t>
    <rPh sb="0" eb="2">
      <t>ジギョウ</t>
    </rPh>
    <rPh sb="2" eb="4">
      <t>ナイヨウ</t>
    </rPh>
    <phoneticPr fontId="3"/>
  </si>
  <si>
    <t>（単位：千円）</t>
    <rPh sb="1" eb="3">
      <t>タンイ</t>
    </rPh>
    <rPh sb="4" eb="6">
      <t>センエン</t>
    </rPh>
    <phoneticPr fontId="3"/>
  </si>
  <si>
    <t>収支区分</t>
    <rPh sb="0" eb="2">
      <t>シュウシ</t>
    </rPh>
    <rPh sb="2" eb="4">
      <t>クブン</t>
    </rPh>
    <phoneticPr fontId="3"/>
  </si>
  <si>
    <t>令和3年4月</t>
    <rPh sb="0" eb="2">
      <t>レイワ</t>
    </rPh>
    <rPh sb="3" eb="4">
      <t>ネン</t>
    </rPh>
    <rPh sb="5" eb="6">
      <t>ガツ</t>
    </rPh>
    <phoneticPr fontId="3"/>
  </si>
  <si>
    <t>令和3年5月</t>
    <rPh sb="0" eb="2">
      <t>レイワ</t>
    </rPh>
    <rPh sb="3" eb="4">
      <t>ネン</t>
    </rPh>
    <rPh sb="5" eb="6">
      <t>ガツ</t>
    </rPh>
    <phoneticPr fontId="3"/>
  </si>
  <si>
    <t>令和3年6月</t>
    <rPh sb="0" eb="2">
      <t>レイワ</t>
    </rPh>
    <rPh sb="3" eb="4">
      <t>ネン</t>
    </rPh>
    <rPh sb="5" eb="6">
      <t>ガツ</t>
    </rPh>
    <phoneticPr fontId="3"/>
  </si>
  <si>
    <t>令和3年7月</t>
    <rPh sb="0" eb="2">
      <t>レイワ</t>
    </rPh>
    <rPh sb="3" eb="4">
      <t>ネン</t>
    </rPh>
    <rPh sb="5" eb="6">
      <t>ガツ</t>
    </rPh>
    <phoneticPr fontId="3"/>
  </si>
  <si>
    <t>令和3年8月</t>
    <rPh sb="0" eb="2">
      <t>レイワ</t>
    </rPh>
    <rPh sb="3" eb="4">
      <t>ネン</t>
    </rPh>
    <rPh sb="5" eb="6">
      <t>ガツ</t>
    </rPh>
    <phoneticPr fontId="3"/>
  </si>
  <si>
    <t>令和3年9月</t>
    <rPh sb="0" eb="2">
      <t>レイワ</t>
    </rPh>
    <rPh sb="3" eb="4">
      <t>ネン</t>
    </rPh>
    <rPh sb="5" eb="6">
      <t>ガツ</t>
    </rPh>
    <phoneticPr fontId="3"/>
  </si>
  <si>
    <t>②現金売上</t>
    <rPh sb="1" eb="3">
      <t>ゲンキン</t>
    </rPh>
    <rPh sb="3" eb="5">
      <t>ウリアゲ</t>
    </rPh>
    <phoneticPr fontId="3"/>
  </si>
  <si>
    <t>⑤その他収入</t>
    <rPh sb="3" eb="4">
      <t>タ</t>
    </rPh>
    <rPh sb="4" eb="6">
      <t>シュウニュウ</t>
    </rPh>
    <phoneticPr fontId="3"/>
  </si>
  <si>
    <t>⑥経常収入
（②～⑤合算）</t>
    <rPh sb="1" eb="3">
      <t>ケイジョウ</t>
    </rPh>
    <rPh sb="3" eb="5">
      <t>シュウニュウ</t>
    </rPh>
    <rPh sb="10" eb="12">
      <t>ガッサン</t>
    </rPh>
    <phoneticPr fontId="3"/>
  </si>
  <si>
    <t>⑦現金仕入</t>
    <rPh sb="1" eb="3">
      <t>ゲンキン</t>
    </rPh>
    <rPh sb="3" eb="5">
      <t>シイ</t>
    </rPh>
    <phoneticPr fontId="3"/>
  </si>
  <si>
    <t>⑩人件費支払</t>
    <rPh sb="1" eb="4">
      <t>ジンケンヒ</t>
    </rPh>
    <rPh sb="4" eb="6">
      <t>シハラ</t>
    </rPh>
    <phoneticPr fontId="3"/>
  </si>
  <si>
    <t>⑰借入金調達</t>
    <rPh sb="1" eb="3">
      <t>カリイレ</t>
    </rPh>
    <rPh sb="3" eb="4">
      <t>キン</t>
    </rPh>
    <rPh sb="4" eb="6">
      <t>チョウタツ</t>
    </rPh>
    <phoneticPr fontId="3"/>
  </si>
  <si>
    <t>⑲借入金返済</t>
    <rPh sb="1" eb="3">
      <t>カリイレ</t>
    </rPh>
    <rPh sb="3" eb="4">
      <t>キン</t>
    </rPh>
    <rPh sb="4" eb="6">
      <t>ヘンサイ</t>
    </rPh>
    <phoneticPr fontId="3"/>
  </si>
  <si>
    <t>　　</t>
    <phoneticPr fontId="3"/>
  </si>
  <si>
    <r>
      <rPr>
        <sz val="24"/>
        <color theme="1"/>
        <rFont val="ＭＳ ゴシック"/>
        <family val="3"/>
        <charset val="128"/>
      </rPr>
      <t>【お問い合わせ】　栃木県信用保証協会○○部○○課　担当○○　℡028-635-○○○○</t>
    </r>
    <r>
      <rPr>
        <sz val="11"/>
        <color theme="1"/>
        <rFont val="游ゴシック"/>
        <family val="2"/>
        <charset val="128"/>
        <scheme val="minor"/>
      </rPr>
      <t xml:space="preserve">
</t>
    </r>
    <phoneticPr fontId="3"/>
  </si>
  <si>
    <t>①月初資金残高</t>
    <rPh sb="1" eb="3">
      <t>ゲッショ</t>
    </rPh>
    <rPh sb="3" eb="5">
      <t>シキン</t>
    </rPh>
    <rPh sb="5" eb="7">
      <t>ザンダカ</t>
    </rPh>
    <rPh sb="6" eb="7">
      <t>ダカ</t>
    </rPh>
    <phoneticPr fontId="3"/>
  </si>
  <si>
    <t>③受取手形取立</t>
    <rPh sb="1" eb="2">
      <t>ウ</t>
    </rPh>
    <rPh sb="2" eb="3">
      <t>ト</t>
    </rPh>
    <rPh sb="3" eb="5">
      <t>テガタ</t>
    </rPh>
    <rPh sb="5" eb="7">
      <t>トリタテ</t>
    </rPh>
    <phoneticPr fontId="3"/>
  </si>
  <si>
    <t>④売掛金回収</t>
    <rPh sb="1" eb="3">
      <t>ウリカケ</t>
    </rPh>
    <rPh sb="3" eb="4">
      <t>キン</t>
    </rPh>
    <rPh sb="4" eb="6">
      <t>カイシュウ</t>
    </rPh>
    <phoneticPr fontId="3"/>
  </si>
  <si>
    <t>⑧支払手形決済</t>
    <rPh sb="1" eb="3">
      <t>シハライ</t>
    </rPh>
    <rPh sb="3" eb="5">
      <t>テガタ</t>
    </rPh>
    <rPh sb="5" eb="7">
      <t>ケッサイ</t>
    </rPh>
    <phoneticPr fontId="3"/>
  </si>
  <si>
    <t>⑨買掛金支払</t>
    <rPh sb="1" eb="4">
      <t>カイカケキン</t>
    </rPh>
    <rPh sb="4" eb="6">
      <t>シハライ</t>
    </rPh>
    <phoneticPr fontId="3"/>
  </si>
  <si>
    <t>⑪支払利息</t>
    <rPh sb="1" eb="3">
      <t>シハライ</t>
    </rPh>
    <rPh sb="3" eb="5">
      <t>リソク</t>
    </rPh>
    <phoneticPr fontId="3"/>
  </si>
  <si>
    <t>⑫税金支払</t>
    <rPh sb="1" eb="3">
      <t>ゼイキン</t>
    </rPh>
    <rPh sb="3" eb="5">
      <t>シハラ</t>
    </rPh>
    <phoneticPr fontId="3"/>
  </si>
  <si>
    <t>⑬その他支出</t>
    <rPh sb="3" eb="4">
      <t>タ</t>
    </rPh>
    <rPh sb="4" eb="6">
      <t>シシュツ</t>
    </rPh>
    <phoneticPr fontId="3"/>
  </si>
  <si>
    <t>⑭経常支出
（⑦～⑬合算）</t>
    <rPh sb="1" eb="3">
      <t>ケイジョウ</t>
    </rPh>
    <rPh sb="3" eb="5">
      <t>シシュツ</t>
    </rPh>
    <rPh sb="10" eb="12">
      <t>ガッサン</t>
    </rPh>
    <phoneticPr fontId="3"/>
  </si>
  <si>
    <t>⑮経常収支
（⑥－⑮）</t>
    <rPh sb="1" eb="3">
      <t>ケイジョウ</t>
    </rPh>
    <rPh sb="3" eb="5">
      <t>シュウシ</t>
    </rPh>
    <phoneticPr fontId="3"/>
  </si>
  <si>
    <t>⑯経常収支比率
（⑥/⑭）</t>
    <rPh sb="1" eb="3">
      <t>ケイジョウ</t>
    </rPh>
    <rPh sb="3" eb="5">
      <t>シュウシ</t>
    </rPh>
    <rPh sb="5" eb="7">
      <t>ヒリツ</t>
    </rPh>
    <phoneticPr fontId="3"/>
  </si>
  <si>
    <t>⑱手形割引</t>
    <rPh sb="1" eb="3">
      <t>テガタ</t>
    </rPh>
    <rPh sb="3" eb="5">
      <t>ワリビキ</t>
    </rPh>
    <phoneticPr fontId="3"/>
  </si>
  <si>
    <t>⑳財務収支
（⑰＋⑱－⑲）</t>
    <rPh sb="1" eb="3">
      <t>ザイム</t>
    </rPh>
    <rPh sb="3" eb="5">
      <t>シュウシ</t>
    </rPh>
    <phoneticPr fontId="3"/>
  </si>
  <si>
    <t>㉑収支合計
（⑮＋⑳）</t>
    <rPh sb="3" eb="5">
      <t>ゴウケイ</t>
    </rPh>
    <phoneticPr fontId="3"/>
  </si>
  <si>
    <t>㉔月末資金残高
（①＋㉑）</t>
    <rPh sb="1" eb="3">
      <t>ゲツマツ</t>
    </rPh>
    <rPh sb="3" eb="5">
      <t>シキン</t>
    </rPh>
    <rPh sb="5" eb="7">
      <t>ザンダカ</t>
    </rPh>
    <phoneticPr fontId="3"/>
  </si>
  <si>
    <t>コロナの影響</t>
    <rPh sb="4" eb="6">
      <t>エイキョウ</t>
    </rPh>
    <phoneticPr fontId="3"/>
  </si>
  <si>
    <t>今後の展望</t>
    <rPh sb="0" eb="2">
      <t>コンゴ</t>
    </rPh>
    <rPh sb="3" eb="5">
      <t>テンボウ</t>
    </rPh>
    <phoneticPr fontId="3"/>
  </si>
  <si>
    <t>千円</t>
    <rPh sb="0" eb="2">
      <t>センエン</t>
    </rPh>
    <phoneticPr fontId="3"/>
  </si>
  <si>
    <t>売上</t>
    <rPh sb="0" eb="2">
      <t>ウリアゲ</t>
    </rPh>
    <phoneticPr fontId="3"/>
  </si>
  <si>
    <t>単位：千円</t>
    <rPh sb="0" eb="2">
      <t>タンイ</t>
    </rPh>
    <rPh sb="3" eb="5">
      <t>センエン</t>
    </rPh>
    <phoneticPr fontId="3"/>
  </si>
  <si>
    <t>外注費</t>
    <rPh sb="0" eb="3">
      <t>ガイチュウヒ</t>
    </rPh>
    <phoneticPr fontId="3"/>
  </si>
  <si>
    <t>販管費</t>
    <rPh sb="0" eb="3">
      <t>ハンカンヒ</t>
    </rPh>
    <phoneticPr fontId="3"/>
  </si>
  <si>
    <t>労務費</t>
    <rPh sb="0" eb="3">
      <t>ロウムヒ</t>
    </rPh>
    <phoneticPr fontId="3"/>
  </si>
  <si>
    <t>支払利息</t>
    <rPh sb="0" eb="2">
      <t>シハライ</t>
    </rPh>
    <rPh sb="2" eb="4">
      <t>リソク</t>
    </rPh>
    <phoneticPr fontId="3"/>
  </si>
  <si>
    <t>今後6ヶ月の売上・仕入の予定金額を教えて下さい。</t>
    <rPh sb="0" eb="2">
      <t>コンゴ</t>
    </rPh>
    <rPh sb="4" eb="5">
      <t>ゲツ</t>
    </rPh>
    <rPh sb="6" eb="8">
      <t>ウリアゲ</t>
    </rPh>
    <rPh sb="9" eb="11">
      <t>シイレ</t>
    </rPh>
    <rPh sb="12" eb="14">
      <t>ヨテイ</t>
    </rPh>
    <rPh sb="14" eb="16">
      <t>キンガク</t>
    </rPh>
    <rPh sb="17" eb="18">
      <t>オシ</t>
    </rPh>
    <rPh sb="20" eb="21">
      <t>クダ</t>
    </rPh>
    <phoneticPr fontId="3"/>
  </si>
  <si>
    <t>来月の売上・仕入の予定金額は？</t>
    <rPh sb="0" eb="2">
      <t>ライゲツ</t>
    </rPh>
    <rPh sb="3" eb="5">
      <t>ウリアゲ</t>
    </rPh>
    <rPh sb="6" eb="8">
      <t>シイレ</t>
    </rPh>
    <rPh sb="9" eb="11">
      <t>ヨテイ</t>
    </rPh>
    <rPh sb="11" eb="13">
      <t>キンガク</t>
    </rPh>
    <phoneticPr fontId="3"/>
  </si>
  <si>
    <t>仕入</t>
    <rPh sb="0" eb="2">
      <t>シイレ</t>
    </rPh>
    <phoneticPr fontId="3"/>
  </si>
  <si>
    <t>2ヶ月目は？</t>
    <rPh sb="2" eb="4">
      <t>ゲツメ</t>
    </rPh>
    <phoneticPr fontId="3"/>
  </si>
  <si>
    <t>3ヶ月目は？</t>
    <rPh sb="2" eb="4">
      <t>ゲツメ</t>
    </rPh>
    <phoneticPr fontId="3"/>
  </si>
  <si>
    <t>4ヶ月目は？</t>
    <rPh sb="2" eb="4">
      <t>ゲツメ</t>
    </rPh>
    <phoneticPr fontId="3"/>
  </si>
  <si>
    <t>5ヶ月目は？</t>
    <rPh sb="2" eb="4">
      <t>ゲツメ</t>
    </rPh>
    <phoneticPr fontId="3"/>
  </si>
  <si>
    <t>6ヶ月目は？</t>
    <rPh sb="2" eb="4">
      <t>ゲツメ</t>
    </rPh>
    <phoneticPr fontId="3"/>
  </si>
  <si>
    <t>来月支払予定の経費について、教えて下さい。</t>
    <rPh sb="0" eb="2">
      <t>ライゲツ</t>
    </rPh>
    <rPh sb="2" eb="4">
      <t>シハライ</t>
    </rPh>
    <rPh sb="4" eb="6">
      <t>ヨテイ</t>
    </rPh>
    <rPh sb="7" eb="9">
      <t>ケイヒ</t>
    </rPh>
    <rPh sb="14" eb="15">
      <t>オシ</t>
    </rPh>
    <rPh sb="17" eb="18">
      <t>クダ</t>
    </rPh>
    <phoneticPr fontId="3"/>
  </si>
  <si>
    <t>来月の人件費の金額は？</t>
    <rPh sb="0" eb="2">
      <t>ライゲツ</t>
    </rPh>
    <rPh sb="3" eb="6">
      <t>ジンケンヒ</t>
    </rPh>
    <rPh sb="7" eb="9">
      <t>キンガク</t>
    </rPh>
    <phoneticPr fontId="3"/>
  </si>
  <si>
    <t>来月の営業経費の金額は？（水道光熱費・旅費交通費・接待交際費・通信費・賃借料等）</t>
    <rPh sb="0" eb="2">
      <t>ライゲツ</t>
    </rPh>
    <rPh sb="3" eb="5">
      <t>エイギョウ</t>
    </rPh>
    <rPh sb="5" eb="7">
      <t>ケイヒ</t>
    </rPh>
    <rPh sb="8" eb="10">
      <t>キンガク</t>
    </rPh>
    <rPh sb="13" eb="15">
      <t>スイドウ</t>
    </rPh>
    <rPh sb="15" eb="18">
      <t>コウネツヒ</t>
    </rPh>
    <rPh sb="19" eb="21">
      <t>リョヒ</t>
    </rPh>
    <rPh sb="21" eb="24">
      <t>コウツウヒ</t>
    </rPh>
    <rPh sb="25" eb="27">
      <t>セッタイ</t>
    </rPh>
    <rPh sb="27" eb="30">
      <t>コウサイヒ</t>
    </rPh>
    <rPh sb="31" eb="34">
      <t>ツウシンヒ</t>
    </rPh>
    <rPh sb="35" eb="38">
      <t>チンシャクリョウ</t>
    </rPh>
    <rPh sb="38" eb="39">
      <t>トウ</t>
    </rPh>
    <phoneticPr fontId="3"/>
  </si>
  <si>
    <t>来月の支払利息の金額は？</t>
    <rPh sb="0" eb="2">
      <t>ライゲツ</t>
    </rPh>
    <rPh sb="3" eb="5">
      <t>シハライ</t>
    </rPh>
    <rPh sb="5" eb="7">
      <t>リソク</t>
    </rPh>
    <rPh sb="8" eb="10">
      <t>キンガク</t>
    </rPh>
    <phoneticPr fontId="3"/>
  </si>
  <si>
    <t>来月の借入金返済額は？</t>
    <phoneticPr fontId="3"/>
  </si>
  <si>
    <t>来月の税金・社会保険料の金額は？（6ヶ月以内に支払う消費税等も加味し、平準化した金額を入力すること）</t>
    <phoneticPr fontId="3"/>
  </si>
  <si>
    <t>現預金について、教えて下さい。</t>
    <rPh sb="0" eb="3">
      <t>ゲンヨキン</t>
    </rPh>
    <rPh sb="8" eb="9">
      <t>オシ</t>
    </rPh>
    <rPh sb="11" eb="12">
      <t>クダ</t>
    </rPh>
    <phoneticPr fontId="3"/>
  </si>
  <si>
    <t>今月末の預金残高見込みは？</t>
    <rPh sb="0" eb="3">
      <t>コンゲツマツ</t>
    </rPh>
    <rPh sb="4" eb="6">
      <t>ヨキン</t>
    </rPh>
    <rPh sb="6" eb="8">
      <t>ザンダカ</t>
    </rPh>
    <rPh sb="8" eb="10">
      <t>ミコ</t>
    </rPh>
    <phoneticPr fontId="3"/>
  </si>
  <si>
    <t>売上の回収方法と入金までの期間を教えて下さい。複数者取引がある場合は、原則平均。算出困難な場合はメイン取引先の条件を入力。</t>
    <rPh sb="0" eb="2">
      <t>ウリアゲ</t>
    </rPh>
    <rPh sb="3" eb="5">
      <t>カイシュウ</t>
    </rPh>
    <rPh sb="5" eb="7">
      <t>ホウホウ</t>
    </rPh>
    <rPh sb="8" eb="10">
      <t>ニュウキン</t>
    </rPh>
    <rPh sb="13" eb="15">
      <t>キカン</t>
    </rPh>
    <rPh sb="16" eb="17">
      <t>オシ</t>
    </rPh>
    <rPh sb="19" eb="20">
      <t>クダ</t>
    </rPh>
    <phoneticPr fontId="3"/>
  </si>
  <si>
    <t>ヶ月後</t>
    <rPh sb="1" eb="3">
      <t>ゲツゴ</t>
    </rPh>
    <phoneticPr fontId="3"/>
  </si>
  <si>
    <t>（小数点以下は切り上げ）</t>
    <rPh sb="1" eb="4">
      <t>ショウスウテン</t>
    </rPh>
    <rPh sb="4" eb="6">
      <t>イカ</t>
    </rPh>
    <rPh sb="7" eb="8">
      <t>キ</t>
    </rPh>
    <rPh sb="9" eb="10">
      <t>ア</t>
    </rPh>
    <phoneticPr fontId="3"/>
  </si>
  <si>
    <t>仕入の支払方法と入金までの期間を教えて下さい。複数者取引がある場合は、原則平均。算出困難な場合はメイン取引先の条件を入力。</t>
    <rPh sb="0" eb="2">
      <t>シイレ</t>
    </rPh>
    <rPh sb="3" eb="5">
      <t>シハライ</t>
    </rPh>
    <rPh sb="5" eb="7">
      <t>ホウホウ</t>
    </rPh>
    <rPh sb="8" eb="10">
      <t>ニュウキン</t>
    </rPh>
    <rPh sb="13" eb="15">
      <t>キカン</t>
    </rPh>
    <rPh sb="16" eb="17">
      <t>オシ</t>
    </rPh>
    <rPh sb="19" eb="20">
      <t>クダ</t>
    </rPh>
    <phoneticPr fontId="3"/>
  </si>
  <si>
    <t>達成率見込</t>
    <rPh sb="0" eb="3">
      <t>タッセイリツ</t>
    </rPh>
    <rPh sb="3" eb="5">
      <t>ミコ</t>
    </rPh>
    <phoneticPr fontId="3"/>
  </si>
  <si>
    <t>資金予定表</t>
    <rPh sb="0" eb="2">
      <t>シキン</t>
    </rPh>
    <rPh sb="2" eb="5">
      <t>ヨテイヒョウ</t>
    </rPh>
    <rPh sb="4" eb="5">
      <t>ヒョウ</t>
    </rPh>
    <phoneticPr fontId="3"/>
  </si>
  <si>
    <t>達成率を加味した資金予定表</t>
    <rPh sb="0" eb="3">
      <t>タッセイリツ</t>
    </rPh>
    <rPh sb="4" eb="6">
      <t>カミ</t>
    </rPh>
    <rPh sb="8" eb="10">
      <t>シキン</t>
    </rPh>
    <rPh sb="10" eb="12">
      <t>ヨテイ</t>
    </rPh>
    <rPh sb="12" eb="13">
      <t>ヒョウ</t>
    </rPh>
    <phoneticPr fontId="3"/>
  </si>
  <si>
    <t>月初現金残高</t>
    <rPh sb="0" eb="2">
      <t>ゲッショ</t>
    </rPh>
    <rPh sb="2" eb="4">
      <t>ゲンキン</t>
    </rPh>
    <rPh sb="4" eb="6">
      <t>ザンダカ</t>
    </rPh>
    <phoneticPr fontId="3"/>
  </si>
  <si>
    <t>入金</t>
    <rPh sb="0" eb="2">
      <t>ニュウキン</t>
    </rPh>
    <phoneticPr fontId="3"/>
  </si>
  <si>
    <t>仕入支払</t>
    <rPh sb="0" eb="2">
      <t>シイレ</t>
    </rPh>
    <rPh sb="2" eb="4">
      <t>シハライ</t>
    </rPh>
    <phoneticPr fontId="3"/>
  </si>
  <si>
    <t>人件費</t>
    <rPh sb="0" eb="3">
      <t>ジンケンヒ</t>
    </rPh>
    <phoneticPr fontId="3"/>
  </si>
  <si>
    <t>営業経費</t>
    <rPh sb="0" eb="2">
      <t>エイギョウ</t>
    </rPh>
    <rPh sb="2" eb="4">
      <t>ケイヒ</t>
    </rPh>
    <phoneticPr fontId="3"/>
  </si>
  <si>
    <t>借入金返済</t>
    <phoneticPr fontId="3"/>
  </si>
  <si>
    <t>税金・社会保険料</t>
    <phoneticPr fontId="3"/>
  </si>
  <si>
    <t>その他支払経費</t>
    <phoneticPr fontId="3"/>
  </si>
  <si>
    <t>支出合計</t>
    <rPh sb="0" eb="2">
      <t>シシュツ</t>
    </rPh>
    <rPh sb="2" eb="4">
      <t>ゴウケイ</t>
    </rPh>
    <phoneticPr fontId="3"/>
  </si>
  <si>
    <t>当月収支</t>
    <rPh sb="0" eb="2">
      <t>トウゲツ</t>
    </rPh>
    <rPh sb="2" eb="4">
      <t>シュウシ</t>
    </rPh>
    <phoneticPr fontId="3"/>
  </si>
  <si>
    <t>月末現金残高</t>
    <rPh sb="0" eb="2">
      <t>ゲツマツ</t>
    </rPh>
    <rPh sb="2" eb="4">
      <t>ゲンキン</t>
    </rPh>
    <rPh sb="4" eb="6">
      <t>ザンダカ</t>
    </rPh>
    <phoneticPr fontId="3"/>
  </si>
  <si>
    <t>現金</t>
    <rPh sb="0" eb="2">
      <t>ゲンキン</t>
    </rPh>
    <phoneticPr fontId="3"/>
  </si>
  <si>
    <t>売掛金回収</t>
    <rPh sb="0" eb="3">
      <t>ウリカケキン</t>
    </rPh>
    <rPh sb="3" eb="5">
      <t>カイシュウ</t>
    </rPh>
    <phoneticPr fontId="3"/>
  </si>
  <si>
    <t>ヶ月</t>
    <rPh sb="1" eb="2">
      <t>ゲツ</t>
    </rPh>
    <phoneticPr fontId="3"/>
  </si>
  <si>
    <t>買掛金支払</t>
    <rPh sb="0" eb="1">
      <t>カ</t>
    </rPh>
    <rPh sb="1" eb="2">
      <t>カ</t>
    </rPh>
    <rPh sb="2" eb="3">
      <t>キン</t>
    </rPh>
    <rPh sb="3" eb="5">
      <t>シハライ</t>
    </rPh>
    <phoneticPr fontId="3"/>
  </si>
  <si>
    <t>手形回収</t>
    <rPh sb="0" eb="2">
      <t>テガタ</t>
    </rPh>
    <rPh sb="2" eb="4">
      <t>カイシュウ</t>
    </rPh>
    <phoneticPr fontId="3"/>
  </si>
  <si>
    <t>手形支払</t>
    <rPh sb="0" eb="2">
      <t>テガタ</t>
    </rPh>
    <rPh sb="2" eb="4">
      <t>シハライ</t>
    </rPh>
    <phoneticPr fontId="3"/>
  </si>
  <si>
    <t>今後6ヶ月の売上・仕入・外注費・労務費の予定金額を教えて下さい。</t>
    <rPh sb="0" eb="2">
      <t>コンゴ</t>
    </rPh>
    <rPh sb="4" eb="5">
      <t>ゲツ</t>
    </rPh>
    <rPh sb="6" eb="8">
      <t>ウリアゲ</t>
    </rPh>
    <rPh sb="9" eb="11">
      <t>シイレ</t>
    </rPh>
    <rPh sb="12" eb="15">
      <t>ガイチュウヒ</t>
    </rPh>
    <rPh sb="16" eb="19">
      <t>ロウムヒ</t>
    </rPh>
    <rPh sb="20" eb="22">
      <t>ヨテイ</t>
    </rPh>
    <rPh sb="22" eb="24">
      <t>キンガク</t>
    </rPh>
    <rPh sb="25" eb="26">
      <t>オシ</t>
    </rPh>
    <rPh sb="28" eb="29">
      <t>クダ</t>
    </rPh>
    <phoneticPr fontId="3"/>
  </si>
  <si>
    <t>来月の売上・仕入・外注費・労務費の予定金額は？</t>
    <rPh sb="0" eb="2">
      <t>ライゲツ</t>
    </rPh>
    <rPh sb="3" eb="5">
      <t>ウリアゲ</t>
    </rPh>
    <rPh sb="6" eb="8">
      <t>シイレ</t>
    </rPh>
    <rPh sb="9" eb="11">
      <t>ガイチュウ</t>
    </rPh>
    <rPh sb="11" eb="12">
      <t>ヒ</t>
    </rPh>
    <rPh sb="13" eb="16">
      <t>ロウムヒ</t>
    </rPh>
    <rPh sb="17" eb="19">
      <t>ヨテイ</t>
    </rPh>
    <rPh sb="19" eb="21">
      <t>キンガク</t>
    </rPh>
    <phoneticPr fontId="3"/>
  </si>
  <si>
    <t>来月のその他製造原価や支払経費の金額は？（リース料等、設備投資額含む）</t>
    <phoneticPr fontId="3"/>
  </si>
  <si>
    <t>借入金調達</t>
    <rPh sb="3" eb="5">
      <t>チョウタツ</t>
    </rPh>
    <phoneticPr fontId="3"/>
  </si>
  <si>
    <t>資金予定表</t>
    <rPh sb="0" eb="2">
      <t>シキン</t>
    </rPh>
    <rPh sb="2" eb="4">
      <t>ヨテイ</t>
    </rPh>
    <rPh sb="4" eb="5">
      <t>ヒョウ</t>
    </rPh>
    <phoneticPr fontId="3"/>
  </si>
  <si>
    <t>注意事項</t>
    <rPh sb="0" eb="2">
      <t>チュウイ</t>
    </rPh>
    <rPh sb="2" eb="4">
      <t>ジコウ</t>
    </rPh>
    <phoneticPr fontId="3"/>
  </si>
  <si>
    <t>資金繰り予定表以前の売上及び仕入は関数の先頭もしくは末尾に実数を入力。</t>
    <rPh sb="0" eb="2">
      <t>シキン</t>
    </rPh>
    <rPh sb="2" eb="3">
      <t>グ</t>
    </rPh>
    <rPh sb="4" eb="7">
      <t>ヨテイヒョウ</t>
    </rPh>
    <rPh sb="7" eb="9">
      <t>イゼン</t>
    </rPh>
    <rPh sb="10" eb="12">
      <t>ウリアゲ</t>
    </rPh>
    <rPh sb="12" eb="13">
      <t>オヨ</t>
    </rPh>
    <rPh sb="14" eb="16">
      <t>シイレ</t>
    </rPh>
    <rPh sb="17" eb="19">
      <t>カンスウ</t>
    </rPh>
    <rPh sb="20" eb="22">
      <t>セントウ</t>
    </rPh>
    <rPh sb="26" eb="28">
      <t>マツビ</t>
    </rPh>
    <rPh sb="29" eb="31">
      <t>ジッスウ</t>
    </rPh>
    <rPh sb="32" eb="34">
      <t>ニュウリョク</t>
    </rPh>
    <phoneticPr fontId="3"/>
  </si>
  <si>
    <t>数値は経営者へのヒアリング等で確認してください。</t>
    <rPh sb="0" eb="2">
      <t>スウチ</t>
    </rPh>
    <rPh sb="3" eb="6">
      <t>ケイエイシャ</t>
    </rPh>
    <rPh sb="13" eb="14">
      <t>ナド</t>
    </rPh>
    <rPh sb="15" eb="17">
      <t>カクニン</t>
    </rPh>
    <phoneticPr fontId="3"/>
  </si>
  <si>
    <t>現金での仕入は月次仕入のおおよそ何％ですか？</t>
    <rPh sb="0" eb="2">
      <t>ゲンキン</t>
    </rPh>
    <rPh sb="4" eb="6">
      <t>シイレ</t>
    </rPh>
    <rPh sb="7" eb="9">
      <t>ゲツジ</t>
    </rPh>
    <rPh sb="9" eb="11">
      <t>シイ</t>
    </rPh>
    <rPh sb="16" eb="17">
      <t>ナン</t>
    </rPh>
    <phoneticPr fontId="3"/>
  </si>
  <si>
    <t>仕入の支払方法と入金までの期間を教えて下さい。複数者取引がある場合は、原則平均。算出困難な場合は主要先の条件を教えてください。</t>
    <rPh sb="0" eb="2">
      <t>シイレ</t>
    </rPh>
    <rPh sb="3" eb="5">
      <t>シハライ</t>
    </rPh>
    <rPh sb="5" eb="7">
      <t>ホウホウ</t>
    </rPh>
    <rPh sb="8" eb="10">
      <t>ニュウキン</t>
    </rPh>
    <rPh sb="13" eb="15">
      <t>キカン</t>
    </rPh>
    <rPh sb="16" eb="17">
      <t>オシ</t>
    </rPh>
    <rPh sb="19" eb="20">
      <t>クダ</t>
    </rPh>
    <rPh sb="48" eb="50">
      <t>シュヨウ</t>
    </rPh>
    <rPh sb="55" eb="56">
      <t>オシ</t>
    </rPh>
    <phoneticPr fontId="3"/>
  </si>
  <si>
    <t>売上の回収方法と入金までの期間を教えて下さい。複数取引がある場合は原則平均ですが、算出困難な場合は主要先の条件を教えてください。</t>
    <rPh sb="0" eb="2">
      <t>ウリアゲ</t>
    </rPh>
    <rPh sb="3" eb="5">
      <t>カイシュウ</t>
    </rPh>
    <rPh sb="5" eb="7">
      <t>ホウホウ</t>
    </rPh>
    <rPh sb="8" eb="10">
      <t>ニュウキン</t>
    </rPh>
    <rPh sb="13" eb="15">
      <t>キカン</t>
    </rPh>
    <rPh sb="16" eb="17">
      <t>オシ</t>
    </rPh>
    <rPh sb="19" eb="20">
      <t>クダ</t>
    </rPh>
    <rPh sb="33" eb="35">
      <t>ゲンソク</t>
    </rPh>
    <rPh sb="49" eb="51">
      <t>シュヨウ</t>
    </rPh>
    <rPh sb="51" eb="52">
      <t>サキ</t>
    </rPh>
    <rPh sb="53" eb="55">
      <t>ジョウケン</t>
    </rPh>
    <rPh sb="56" eb="57">
      <t>オシ</t>
    </rPh>
    <phoneticPr fontId="3"/>
  </si>
  <si>
    <t>来月の税金・社会保険料の金額は？（6ヶ月以内に支払う消費税等も加味し、平準化した金額を入力）</t>
    <phoneticPr fontId="3"/>
  </si>
  <si>
    <t>現金での売上は月次売上のおおよそ何％ですか？</t>
    <rPh sb="0" eb="2">
      <t>ゲンキン</t>
    </rPh>
    <rPh sb="4" eb="6">
      <t>ウリアゲ</t>
    </rPh>
    <rPh sb="7" eb="8">
      <t>ツキ</t>
    </rPh>
    <rPh sb="8" eb="9">
      <t>ジ</t>
    </rPh>
    <rPh sb="9" eb="11">
      <t>ウリアゲ</t>
    </rPh>
    <rPh sb="16" eb="17">
      <t>ナン</t>
    </rPh>
    <phoneticPr fontId="3"/>
  </si>
  <si>
    <t>売掛金での売上は月次売上のおおよそ何％ですか？　　販売やサービスの提供から何ヶ月後の入金が多いですか？</t>
    <rPh sb="0" eb="2">
      <t>ウリカケ</t>
    </rPh>
    <rPh sb="2" eb="3">
      <t>キン</t>
    </rPh>
    <rPh sb="5" eb="7">
      <t>ウリアゲ</t>
    </rPh>
    <rPh sb="8" eb="10">
      <t>ゲツジ</t>
    </rPh>
    <rPh sb="10" eb="12">
      <t>ウリアゲ</t>
    </rPh>
    <rPh sb="25" eb="27">
      <t>ハンバイ</t>
    </rPh>
    <rPh sb="33" eb="35">
      <t>テイキョウ</t>
    </rPh>
    <rPh sb="37" eb="41">
      <t>ナンカゲツゴ</t>
    </rPh>
    <rPh sb="42" eb="44">
      <t>ニュウキン</t>
    </rPh>
    <rPh sb="45" eb="46">
      <t>オオ</t>
    </rPh>
    <phoneticPr fontId="3"/>
  </si>
  <si>
    <t>受取手形での売上は月次売上のおおよそ何％ですか？　販売やサービスの提供から何ヶ月後の入金が多いですか？</t>
    <rPh sb="0" eb="1">
      <t>ウ</t>
    </rPh>
    <rPh sb="1" eb="2">
      <t>ト</t>
    </rPh>
    <rPh sb="2" eb="4">
      <t>テガタ</t>
    </rPh>
    <rPh sb="6" eb="8">
      <t>ウリアゲ</t>
    </rPh>
    <rPh sb="9" eb="11">
      <t>ゲツジ</t>
    </rPh>
    <rPh sb="11" eb="13">
      <t>ウリアゲ</t>
    </rPh>
    <rPh sb="25" eb="27">
      <t>ハンバイ</t>
    </rPh>
    <rPh sb="33" eb="35">
      <t>テイキョウ</t>
    </rPh>
    <rPh sb="37" eb="41">
      <t>ナンカゲツゴ</t>
    </rPh>
    <rPh sb="42" eb="44">
      <t>ニュウキン</t>
    </rPh>
    <rPh sb="45" eb="46">
      <t>オオ</t>
    </rPh>
    <phoneticPr fontId="3"/>
  </si>
  <si>
    <t>買掛金での仕入は月次仕入のおおよそ何％ですか？　　仕入から買掛金の支払までは何ヶ月後が多いですか？</t>
    <rPh sb="0" eb="3">
      <t>カイカケキン</t>
    </rPh>
    <rPh sb="5" eb="7">
      <t>シイレ</t>
    </rPh>
    <rPh sb="8" eb="10">
      <t>ゲツジ</t>
    </rPh>
    <rPh sb="10" eb="12">
      <t>シイ</t>
    </rPh>
    <rPh sb="25" eb="27">
      <t>シイ</t>
    </rPh>
    <rPh sb="29" eb="32">
      <t>カイカケキン</t>
    </rPh>
    <rPh sb="33" eb="35">
      <t>シハラ</t>
    </rPh>
    <rPh sb="38" eb="42">
      <t>ナンカゲツゴ</t>
    </rPh>
    <rPh sb="43" eb="44">
      <t>オオ</t>
    </rPh>
    <phoneticPr fontId="3"/>
  </si>
  <si>
    <t>支払手形での仕入は月次仕入のおおよそ何％ですか？　仕入から支払手形の期日までは何ヶ月後が多いですか？</t>
    <rPh sb="0" eb="2">
      <t>シハライ</t>
    </rPh>
    <rPh sb="2" eb="4">
      <t>テガタ</t>
    </rPh>
    <rPh sb="6" eb="8">
      <t>シイレ</t>
    </rPh>
    <rPh sb="9" eb="11">
      <t>ゲツジ</t>
    </rPh>
    <rPh sb="11" eb="13">
      <t>シイ</t>
    </rPh>
    <rPh sb="25" eb="27">
      <t>シイ</t>
    </rPh>
    <rPh sb="29" eb="31">
      <t>シハライ</t>
    </rPh>
    <rPh sb="31" eb="33">
      <t>テガタ</t>
    </rPh>
    <rPh sb="34" eb="36">
      <t>キジツ</t>
    </rPh>
    <rPh sb="39" eb="43">
      <t>ナンカゲツゴ</t>
    </rPh>
    <rPh sb="44" eb="45">
      <t>オオ</t>
    </rPh>
    <phoneticPr fontId="3"/>
  </si>
  <si>
    <t>3か月後は？</t>
    <rPh sb="2" eb="4">
      <t>ゲツゴ</t>
    </rPh>
    <phoneticPr fontId="3"/>
  </si>
  <si>
    <t>4か月後は？</t>
    <rPh sb="2" eb="4">
      <t>ゲツゴ</t>
    </rPh>
    <phoneticPr fontId="3"/>
  </si>
  <si>
    <t>5か月後は？</t>
    <rPh sb="2" eb="4">
      <t>ゲツゴ</t>
    </rPh>
    <phoneticPr fontId="3"/>
  </si>
  <si>
    <t>4ヵ月後は？</t>
    <rPh sb="2" eb="3">
      <t>ゲツ</t>
    </rPh>
    <rPh sb="3" eb="4">
      <t>ゴ</t>
    </rPh>
    <phoneticPr fontId="3"/>
  </si>
  <si>
    <t>2か月後払いは？</t>
    <rPh sb="2" eb="4">
      <t>ゲツゴ</t>
    </rPh>
    <rPh sb="4" eb="5">
      <t>ハラ</t>
    </rPh>
    <phoneticPr fontId="3"/>
  </si>
  <si>
    <t>2か月後は？</t>
    <rPh sb="2" eb="4">
      <t>ゲツゴ</t>
    </rPh>
    <phoneticPr fontId="3"/>
  </si>
  <si>
    <t>販売やサービスの提供から1か月後の入金はおおよそ何％？</t>
    <rPh sb="0" eb="2">
      <t>ハンバイ</t>
    </rPh>
    <rPh sb="8" eb="10">
      <t>テイキョウ</t>
    </rPh>
    <rPh sb="14" eb="16">
      <t>ゲツゴ</t>
    </rPh>
    <rPh sb="17" eb="19">
      <t>ニュウキン</t>
    </rPh>
    <rPh sb="24" eb="25">
      <t>ナン</t>
    </rPh>
    <phoneticPr fontId="3"/>
  </si>
  <si>
    <t>当月に仕入れて、その翌月での支払はおおよそ何％？</t>
    <rPh sb="0" eb="2">
      <t>トウゲツ</t>
    </rPh>
    <rPh sb="3" eb="5">
      <t>シイレ</t>
    </rPh>
    <rPh sb="10" eb="12">
      <t>ヨクゲツ</t>
    </rPh>
    <rPh sb="14" eb="16">
      <t>シハラ</t>
    </rPh>
    <rPh sb="21" eb="22">
      <t>ナン</t>
    </rPh>
    <phoneticPr fontId="3"/>
  </si>
  <si>
    <t>販売やサービスの提供を行い同月内での入金はおおよそ何％？</t>
    <rPh sb="0" eb="2">
      <t>ハンバイ</t>
    </rPh>
    <rPh sb="8" eb="10">
      <t>テイキョウ</t>
    </rPh>
    <rPh sb="11" eb="12">
      <t>オコナ</t>
    </rPh>
    <rPh sb="13" eb="15">
      <t>ドウゲツ</t>
    </rPh>
    <rPh sb="15" eb="16">
      <t>ナイ</t>
    </rPh>
    <rPh sb="18" eb="20">
      <t>ニュウキン</t>
    </rPh>
    <rPh sb="25" eb="27">
      <t>ナンパーセント</t>
    </rPh>
    <phoneticPr fontId="3"/>
  </si>
  <si>
    <t>当月に仕入れて、同月内での支払はおおよそ何％？</t>
    <rPh sb="0" eb="2">
      <t>トウゲツ</t>
    </rPh>
    <rPh sb="3" eb="5">
      <t>シイレ</t>
    </rPh>
    <rPh sb="8" eb="10">
      <t>ドウゲツ</t>
    </rPh>
    <rPh sb="10" eb="11">
      <t>ナイ</t>
    </rPh>
    <rPh sb="13" eb="15">
      <t>シハラ</t>
    </rPh>
    <rPh sb="20" eb="21">
      <t>ナン</t>
    </rPh>
    <phoneticPr fontId="3"/>
  </si>
  <si>
    <t>※前月以前取引分入金・支払</t>
    <rPh sb="1" eb="3">
      <t>ゼンゲツ</t>
    </rPh>
    <rPh sb="3" eb="5">
      <t>イゼン</t>
    </rPh>
    <rPh sb="5" eb="7">
      <t>トリヒキ</t>
    </rPh>
    <rPh sb="7" eb="8">
      <t>ブン</t>
    </rPh>
    <rPh sb="8" eb="10">
      <t>ニュウキン</t>
    </rPh>
    <rPh sb="11" eb="13">
      <t>シハラ</t>
    </rPh>
    <phoneticPr fontId="3"/>
  </si>
  <si>
    <t>手形支払</t>
    <rPh sb="0" eb="2">
      <t>テガタ</t>
    </rPh>
    <rPh sb="2" eb="4">
      <t>シハラ</t>
    </rPh>
    <phoneticPr fontId="3"/>
  </si>
  <si>
    <t>追加</t>
    <rPh sb="0" eb="2">
      <t>ツイカ</t>
    </rPh>
    <phoneticPr fontId="3"/>
  </si>
  <si>
    <t>来月のリース料、設備投資の金額は？</t>
    <rPh sb="13" eb="15">
      <t>キンガク</t>
    </rPh>
    <phoneticPr fontId="3"/>
  </si>
  <si>
    <t>経常収支</t>
    <rPh sb="0" eb="2">
      <t>ケイジョウ</t>
    </rPh>
    <rPh sb="2" eb="4">
      <t>シュウシ</t>
    </rPh>
    <phoneticPr fontId="3"/>
  </si>
  <si>
    <t>経常支出</t>
    <rPh sb="0" eb="2">
      <t>ケイジョウ</t>
    </rPh>
    <rPh sb="2" eb="4">
      <t>シシュツ</t>
    </rPh>
    <phoneticPr fontId="3"/>
  </si>
  <si>
    <t>直近2ヶ月の売上・仕入の金額を教えて下さい。</t>
    <rPh sb="0" eb="2">
      <t>チョッキン</t>
    </rPh>
    <rPh sb="4" eb="5">
      <t>ゲツ</t>
    </rPh>
    <rPh sb="6" eb="8">
      <t>ウリアゲ</t>
    </rPh>
    <rPh sb="9" eb="11">
      <t>シイレ</t>
    </rPh>
    <rPh sb="12" eb="14">
      <t>キンガク</t>
    </rPh>
    <rPh sb="15" eb="16">
      <t>オシ</t>
    </rPh>
    <rPh sb="18" eb="19">
      <t>クダ</t>
    </rPh>
    <phoneticPr fontId="3"/>
  </si>
  <si>
    <t>仕入支払</t>
    <rPh sb="0" eb="2">
      <t>シイ</t>
    </rPh>
    <rPh sb="2" eb="4">
      <t>シハラ</t>
    </rPh>
    <phoneticPr fontId="3"/>
  </si>
  <si>
    <t>2ヶ月前は？</t>
    <rPh sb="3" eb="4">
      <t>マエ</t>
    </rPh>
    <phoneticPr fontId="3"/>
  </si>
  <si>
    <t>1ヶ月前は？</t>
    <rPh sb="3" eb="4">
      <t>マエ</t>
    </rPh>
    <phoneticPr fontId="3"/>
  </si>
  <si>
    <t>2ヶ月前実績</t>
    <rPh sb="2" eb="3">
      <t>ゲツ</t>
    </rPh>
    <rPh sb="3" eb="4">
      <t>マエ</t>
    </rPh>
    <rPh sb="4" eb="6">
      <t>ジッセキ</t>
    </rPh>
    <phoneticPr fontId="3"/>
  </si>
  <si>
    <t>１ヶ月前実績</t>
    <rPh sb="2" eb="3">
      <t>ゲツ</t>
    </rPh>
    <rPh sb="3" eb="4">
      <t>マエ</t>
    </rPh>
    <rPh sb="4" eb="6">
      <t>ジッセキ</t>
    </rPh>
    <phoneticPr fontId="3"/>
  </si>
  <si>
    <t>1カ月後入金</t>
    <rPh sb="2" eb="4">
      <t>ゲツゴ</t>
    </rPh>
    <rPh sb="4" eb="6">
      <t>ニュウキン</t>
    </rPh>
    <phoneticPr fontId="3"/>
  </si>
  <si>
    <t>2カ月後入金</t>
    <rPh sb="2" eb="4">
      <t>ゲツゴ</t>
    </rPh>
    <rPh sb="4" eb="6">
      <t>ニュウキン</t>
    </rPh>
    <phoneticPr fontId="3"/>
  </si>
  <si>
    <t>3カ月後入金</t>
    <rPh sb="2" eb="4">
      <t>ゲツゴ</t>
    </rPh>
    <rPh sb="4" eb="6">
      <t>ニュウキン</t>
    </rPh>
    <phoneticPr fontId="3"/>
  </si>
  <si>
    <t>4カ月後入金</t>
    <rPh sb="2" eb="4">
      <t>ゲツゴ</t>
    </rPh>
    <rPh sb="4" eb="6">
      <t>ニュウキン</t>
    </rPh>
    <phoneticPr fontId="3"/>
  </si>
  <si>
    <t>5カ月後入金</t>
    <rPh sb="2" eb="4">
      <t>ゲツゴ</t>
    </rPh>
    <rPh sb="4" eb="6">
      <t>ニュウキン</t>
    </rPh>
    <phoneticPr fontId="3"/>
  </si>
  <si>
    <t>6カ月後入金</t>
    <rPh sb="2" eb="4">
      <t>ゲツゴ</t>
    </rPh>
    <rPh sb="4" eb="6">
      <t>ニュウキン</t>
    </rPh>
    <phoneticPr fontId="3"/>
  </si>
  <si>
    <t>1カ月後支払</t>
    <rPh sb="2" eb="4">
      <t>ゲツゴ</t>
    </rPh>
    <rPh sb="4" eb="6">
      <t>シハラ</t>
    </rPh>
    <phoneticPr fontId="3"/>
  </si>
  <si>
    <t>2カ月後支払</t>
    <rPh sb="2" eb="4">
      <t>ゲツゴ</t>
    </rPh>
    <rPh sb="4" eb="6">
      <t>シハラ</t>
    </rPh>
    <phoneticPr fontId="3"/>
  </si>
  <si>
    <t>3カ月後支払</t>
    <rPh sb="2" eb="4">
      <t>ゲツゴ</t>
    </rPh>
    <rPh sb="4" eb="6">
      <t>シハラ</t>
    </rPh>
    <phoneticPr fontId="3"/>
  </si>
  <si>
    <t>4カ月後支払</t>
    <rPh sb="2" eb="4">
      <t>ゲツゴ</t>
    </rPh>
    <rPh sb="4" eb="6">
      <t>シハラ</t>
    </rPh>
    <phoneticPr fontId="3"/>
  </si>
  <si>
    <t>5カ月後支払</t>
    <rPh sb="2" eb="4">
      <t>ゲツゴ</t>
    </rPh>
    <rPh sb="4" eb="6">
      <t>シハラ</t>
    </rPh>
    <phoneticPr fontId="3"/>
  </si>
  <si>
    <t>6カ月後支払</t>
    <rPh sb="2" eb="4">
      <t>ゲツゴ</t>
    </rPh>
    <rPh sb="4" eb="6">
      <t>シハラ</t>
    </rPh>
    <phoneticPr fontId="3"/>
  </si>
  <si>
    <t>R3/4</t>
    <phoneticPr fontId="3"/>
  </si>
  <si>
    <t>以前掛取引分</t>
    <rPh sb="0" eb="2">
      <t>イゼン</t>
    </rPh>
    <rPh sb="2" eb="3">
      <t>カ</t>
    </rPh>
    <rPh sb="3" eb="5">
      <t>トリヒキ</t>
    </rPh>
    <rPh sb="5" eb="6">
      <t>ブン</t>
    </rPh>
    <phoneticPr fontId="3"/>
  </si>
  <si>
    <t>割引手形</t>
    <rPh sb="0" eb="2">
      <t>ワリビキ</t>
    </rPh>
    <rPh sb="2" eb="4">
      <t>テガタ</t>
    </rPh>
    <phoneticPr fontId="3"/>
  </si>
  <si>
    <t>今後追加予定</t>
    <rPh sb="0" eb="2">
      <t>コンゴ</t>
    </rPh>
    <rPh sb="2" eb="4">
      <t>ツイカ</t>
    </rPh>
    <rPh sb="4" eb="6">
      <t>ヨテイ</t>
    </rPh>
    <phoneticPr fontId="3"/>
  </si>
  <si>
    <t>設備投資</t>
    <rPh sb="0" eb="2">
      <t>セツビ</t>
    </rPh>
    <rPh sb="2" eb="4">
      <t>トウシ</t>
    </rPh>
    <phoneticPr fontId="3"/>
  </si>
  <si>
    <t>来月の設備投資は？</t>
    <rPh sb="0" eb="2">
      <t>ライゲツ</t>
    </rPh>
    <rPh sb="3" eb="5">
      <t>セツビ</t>
    </rPh>
    <rPh sb="5" eb="7">
      <t>トウシ</t>
    </rPh>
    <phoneticPr fontId="3"/>
  </si>
  <si>
    <t>その他収入</t>
    <rPh sb="2" eb="3">
      <t>タ</t>
    </rPh>
    <rPh sb="3" eb="5">
      <t>シュウニュウ</t>
    </rPh>
    <phoneticPr fontId="3"/>
  </si>
  <si>
    <t>経常収入</t>
    <rPh sb="0" eb="2">
      <t>ケイジョウ</t>
    </rPh>
    <rPh sb="2" eb="4">
      <t>シュウニュウ</t>
    </rPh>
    <phoneticPr fontId="3"/>
  </si>
  <si>
    <t>リース・利息・その他</t>
    <rPh sb="4" eb="6">
      <t>リソク</t>
    </rPh>
    <rPh sb="9" eb="10">
      <t>タ</t>
    </rPh>
    <phoneticPr fontId="3"/>
  </si>
  <si>
    <t>財務収支他</t>
    <rPh sb="0" eb="2">
      <t>ザイム</t>
    </rPh>
    <rPh sb="2" eb="4">
      <t>シュウシ</t>
    </rPh>
    <rPh sb="4" eb="5">
      <t>ホカ</t>
    </rPh>
    <phoneticPr fontId="3"/>
  </si>
  <si>
    <t>仕入れから30日以内の支払はおおよそ何％？</t>
    <rPh sb="0" eb="2">
      <t>シイレ</t>
    </rPh>
    <rPh sb="7" eb="8">
      <t>ニチ</t>
    </rPh>
    <rPh sb="8" eb="10">
      <t>イナイ</t>
    </rPh>
    <rPh sb="11" eb="13">
      <t>シハラ</t>
    </rPh>
    <rPh sb="18" eb="19">
      <t>ナン</t>
    </rPh>
    <phoneticPr fontId="3"/>
  </si>
  <si>
    <t>仕入から31日～60日以内での支払はおおよそ何％？</t>
    <rPh sb="0" eb="2">
      <t>シイレ</t>
    </rPh>
    <rPh sb="6" eb="7">
      <t>ニチ</t>
    </rPh>
    <rPh sb="10" eb="11">
      <t>ニチ</t>
    </rPh>
    <rPh sb="11" eb="13">
      <t>イナイ</t>
    </rPh>
    <rPh sb="15" eb="17">
      <t>シハラ</t>
    </rPh>
    <rPh sb="22" eb="23">
      <t>ナン</t>
    </rPh>
    <phoneticPr fontId="3"/>
  </si>
  <si>
    <t>3か月後は？（91日～120日以内）</t>
    <rPh sb="2" eb="4">
      <t>ゲツゴ</t>
    </rPh>
    <rPh sb="9" eb="10">
      <t>ニチ</t>
    </rPh>
    <rPh sb="14" eb="15">
      <t>ニチ</t>
    </rPh>
    <rPh sb="15" eb="17">
      <t>イナイ</t>
    </rPh>
    <phoneticPr fontId="3"/>
  </si>
  <si>
    <t>2か月後は？（61日～90日以内）</t>
    <rPh sb="2" eb="4">
      <t>ゲツゴ</t>
    </rPh>
    <rPh sb="9" eb="10">
      <t>ニチ</t>
    </rPh>
    <rPh sb="13" eb="14">
      <t>ニチ</t>
    </rPh>
    <rPh sb="14" eb="16">
      <t>イナイ</t>
    </rPh>
    <phoneticPr fontId="3"/>
  </si>
  <si>
    <t>4か月後は？（121日～150日以内）</t>
    <rPh sb="2" eb="4">
      <t>ゲツゴ</t>
    </rPh>
    <rPh sb="10" eb="11">
      <t>ニチ</t>
    </rPh>
    <rPh sb="15" eb="16">
      <t>ニチ</t>
    </rPh>
    <rPh sb="16" eb="18">
      <t>イナイ</t>
    </rPh>
    <phoneticPr fontId="3"/>
  </si>
  <si>
    <t>5か月後は？（151日以上）</t>
    <rPh sb="2" eb="4">
      <t>ゲツゴ</t>
    </rPh>
    <rPh sb="10" eb="11">
      <t>ニチ</t>
    </rPh>
    <rPh sb="11" eb="13">
      <t>イジョウ</t>
    </rPh>
    <phoneticPr fontId="3"/>
  </si>
  <si>
    <t>4ヵ月後は？（121日～150日以内）</t>
    <rPh sb="2" eb="3">
      <t>ゲツ</t>
    </rPh>
    <rPh sb="3" eb="4">
      <t>ゴ</t>
    </rPh>
    <rPh sb="10" eb="11">
      <t>ニチ</t>
    </rPh>
    <rPh sb="15" eb="16">
      <t>ニチ</t>
    </rPh>
    <rPh sb="16" eb="18">
      <t>イナイ</t>
    </rPh>
    <phoneticPr fontId="3"/>
  </si>
  <si>
    <t>来月のその他支出の金額は？（リース料、支払利息、その他支出等）</t>
    <rPh sb="5" eb="6">
      <t>タ</t>
    </rPh>
    <rPh sb="6" eb="8">
      <t>シシュツ</t>
    </rPh>
    <rPh sb="9" eb="11">
      <t>キンガク</t>
    </rPh>
    <rPh sb="19" eb="21">
      <t>シハライ</t>
    </rPh>
    <rPh sb="21" eb="23">
      <t>リソク</t>
    </rPh>
    <rPh sb="26" eb="27">
      <t>タ</t>
    </rPh>
    <rPh sb="27" eb="29">
      <t>シシュツ</t>
    </rPh>
    <rPh sb="29" eb="30">
      <t>ナド</t>
    </rPh>
    <phoneticPr fontId="3"/>
  </si>
  <si>
    <t>販売やサービスの提供から31日から60日以内の回収はおおよそ何％？</t>
    <rPh sb="0" eb="2">
      <t>ハンバイ</t>
    </rPh>
    <rPh sb="8" eb="10">
      <t>テイキョウ</t>
    </rPh>
    <rPh sb="14" eb="15">
      <t>ニチ</t>
    </rPh>
    <rPh sb="19" eb="20">
      <t>ニチ</t>
    </rPh>
    <rPh sb="20" eb="22">
      <t>イナイ</t>
    </rPh>
    <rPh sb="23" eb="25">
      <t>カイシュウ</t>
    </rPh>
    <rPh sb="30" eb="31">
      <t>ナン</t>
    </rPh>
    <phoneticPr fontId="3"/>
  </si>
  <si>
    <t>販売やサービスの提供から30日以内の回収はおおよそ何％？</t>
    <rPh sb="0" eb="2">
      <t>ハンバイ</t>
    </rPh>
    <rPh sb="8" eb="10">
      <t>テイキョウ</t>
    </rPh>
    <rPh sb="14" eb="15">
      <t>ニチ</t>
    </rPh>
    <rPh sb="15" eb="17">
      <t>イナイ</t>
    </rPh>
    <rPh sb="18" eb="20">
      <t>カイシュウ</t>
    </rPh>
    <rPh sb="25" eb="26">
      <t>ナニ</t>
    </rPh>
    <phoneticPr fontId="3"/>
  </si>
  <si>
    <t>≪現預金≫</t>
    <rPh sb="1" eb="4">
      <t>ゲンヨキン</t>
    </rPh>
    <phoneticPr fontId="3"/>
  </si>
  <si>
    <t>≪売上・仕入≫</t>
    <rPh sb="1" eb="3">
      <t>ウリアゲ</t>
    </rPh>
    <rPh sb="4" eb="6">
      <t>シイレ</t>
    </rPh>
    <phoneticPr fontId="3"/>
  </si>
  <si>
    <t>≪財務支出他≫</t>
    <rPh sb="1" eb="3">
      <t>ザイム</t>
    </rPh>
    <rPh sb="3" eb="5">
      <t>シシュツ</t>
    </rPh>
    <rPh sb="5" eb="6">
      <t>ホカ</t>
    </rPh>
    <phoneticPr fontId="3"/>
  </si>
  <si>
    <t>≪経常支出≫</t>
    <rPh sb="1" eb="3">
      <t>ケイジョウ</t>
    </rPh>
    <rPh sb="3" eb="5">
      <t>シシュツ</t>
    </rPh>
    <phoneticPr fontId="3"/>
  </si>
  <si>
    <t>≪支払期間≫</t>
    <rPh sb="1" eb="3">
      <t>シハライ</t>
    </rPh>
    <rPh sb="3" eb="5">
      <t>キカン</t>
    </rPh>
    <phoneticPr fontId="3"/>
  </si>
  <si>
    <t>≪回収期間≫</t>
    <rPh sb="1" eb="3">
      <t>カイシュウ</t>
    </rPh>
    <rPh sb="3" eb="5">
      <t>キカン</t>
    </rPh>
    <phoneticPr fontId="3"/>
  </si>
  <si>
    <t>来月支払予定について、教えて下さい。</t>
    <rPh sb="0" eb="2">
      <t>ライゲツ</t>
    </rPh>
    <rPh sb="2" eb="4">
      <t>シハライ</t>
    </rPh>
    <rPh sb="4" eb="6">
      <t>ヨテイ</t>
    </rPh>
    <rPh sb="11" eb="12">
      <t>オシ</t>
    </rPh>
    <rPh sb="14" eb="15">
      <t>クダ</t>
    </rPh>
    <phoneticPr fontId="3"/>
  </si>
  <si>
    <t>来月の営業経費の金額は？（販売管理費における人件費、リース代を除く）</t>
    <rPh sb="0" eb="2">
      <t>ライゲツ</t>
    </rPh>
    <rPh sb="3" eb="5">
      <t>エイギョウ</t>
    </rPh>
    <rPh sb="5" eb="7">
      <t>ケイヒ</t>
    </rPh>
    <rPh sb="8" eb="10">
      <t>キンガク</t>
    </rPh>
    <rPh sb="13" eb="15">
      <t>ハンバイ</t>
    </rPh>
    <rPh sb="15" eb="18">
      <t>カンリヒ</t>
    </rPh>
    <rPh sb="22" eb="25">
      <t>ジンケンヒ</t>
    </rPh>
    <rPh sb="29" eb="30">
      <t>ダイ</t>
    </rPh>
    <rPh sb="31" eb="32">
      <t>ノゾ</t>
    </rPh>
    <phoneticPr fontId="3"/>
  </si>
  <si>
    <t>対象月</t>
    <rPh sb="0" eb="2">
      <t>タイショウ</t>
    </rPh>
    <rPh sb="2" eb="3">
      <t>ツキ</t>
    </rPh>
    <phoneticPr fontId="3"/>
  </si>
  <si>
    <t>対象月</t>
    <rPh sb="0" eb="2">
      <t>タイショウ</t>
    </rPh>
    <rPh sb="2" eb="3">
      <t>ヅキ</t>
    </rPh>
    <phoneticPr fontId="3"/>
  </si>
  <si>
    <t>その他</t>
    <rPh sb="2" eb="3">
      <t>タ</t>
    </rPh>
    <phoneticPr fontId="3"/>
  </si>
  <si>
    <t>返済</t>
    <rPh sb="0" eb="2">
      <t>ヘンサイ</t>
    </rPh>
    <phoneticPr fontId="3"/>
  </si>
  <si>
    <t>支払</t>
    <rPh sb="0" eb="2">
      <t>シハラ</t>
    </rPh>
    <phoneticPr fontId="3"/>
  </si>
  <si>
    <t>≪実績≫</t>
    <rPh sb="1" eb="3">
      <t>ジッセキ</t>
    </rPh>
    <phoneticPr fontId="3"/>
  </si>
  <si>
    <t>≪営業外収入≫</t>
    <rPh sb="1" eb="4">
      <t>エイギョウガイ</t>
    </rPh>
    <rPh sb="4" eb="6">
      <t>シュウニュウ</t>
    </rPh>
    <phoneticPr fontId="3"/>
  </si>
  <si>
    <t>末</t>
    <rPh sb="0" eb="1">
      <t>マツ</t>
    </rPh>
    <phoneticPr fontId="3"/>
  </si>
  <si>
    <t>外注費・労務費の金額を教えてください。</t>
    <rPh sb="0" eb="3">
      <t>ガイチュウヒ</t>
    </rPh>
    <rPh sb="4" eb="7">
      <t>ロウムヒ</t>
    </rPh>
    <rPh sb="8" eb="10">
      <t>キンガク</t>
    </rPh>
    <rPh sb="11" eb="12">
      <t>オシ</t>
    </rPh>
    <phoneticPr fontId="3"/>
  </si>
  <si>
    <t>月初現預金残高</t>
    <rPh sb="0" eb="2">
      <t>ゲッショ</t>
    </rPh>
    <rPh sb="2" eb="5">
      <t>ゲンヨキン</t>
    </rPh>
    <rPh sb="5" eb="7">
      <t>ザンダカ</t>
    </rPh>
    <phoneticPr fontId="3"/>
  </si>
  <si>
    <t>月末現預金残高</t>
    <rPh sb="0" eb="2">
      <t>ゲツマツ</t>
    </rPh>
    <rPh sb="2" eb="5">
      <t>ゲンヨキン</t>
    </rPh>
    <rPh sb="5" eb="7">
      <t>ザンダカ</t>
    </rPh>
    <phoneticPr fontId="3"/>
  </si>
  <si>
    <t>減価償却費</t>
    <rPh sb="0" eb="2">
      <t>ゲンカ</t>
    </rPh>
    <rPh sb="2" eb="4">
      <t>ショウキャク</t>
    </rPh>
    <rPh sb="4" eb="5">
      <t>ヒ</t>
    </rPh>
    <phoneticPr fontId="3"/>
  </si>
  <si>
    <t>リース料</t>
    <rPh sb="3" eb="4">
      <t>リョウ</t>
    </rPh>
    <phoneticPr fontId="3"/>
  </si>
  <si>
    <t>製造原価</t>
    <rPh sb="0" eb="2">
      <t>セイゾウ</t>
    </rPh>
    <rPh sb="2" eb="4">
      <t>ゲンカ</t>
    </rPh>
    <phoneticPr fontId="3"/>
  </si>
  <si>
    <t>A商事</t>
    <rPh sb="1" eb="3">
      <t>ショウジ</t>
    </rPh>
    <phoneticPr fontId="3"/>
  </si>
  <si>
    <t>B物産</t>
    <rPh sb="1" eb="3">
      <t>ブッサン</t>
    </rPh>
    <phoneticPr fontId="3"/>
  </si>
  <si>
    <t>C商事</t>
    <rPh sb="1" eb="3">
      <t>ショウジ</t>
    </rPh>
    <phoneticPr fontId="3"/>
  </si>
  <si>
    <t>D興業</t>
    <rPh sb="1" eb="3">
      <t>コウギョウ</t>
    </rPh>
    <phoneticPr fontId="3"/>
  </si>
  <si>
    <t>E建材</t>
    <rPh sb="1" eb="3">
      <t>ケンザイ</t>
    </rPh>
    <phoneticPr fontId="3"/>
  </si>
  <si>
    <t>F設備</t>
    <rPh sb="1" eb="3">
      <t>セツビ</t>
    </rPh>
    <phoneticPr fontId="3"/>
  </si>
  <si>
    <t>右表を反映</t>
    <phoneticPr fontId="3"/>
  </si>
  <si>
    <t>会社名</t>
    <rPh sb="0" eb="3">
      <t>カイシャメイ</t>
    </rPh>
    <phoneticPr fontId="3"/>
  </si>
  <si>
    <t>30日以内</t>
    <rPh sb="2" eb="3">
      <t>ニチ</t>
    </rPh>
    <rPh sb="3" eb="5">
      <t>イナイ</t>
    </rPh>
    <phoneticPr fontId="3"/>
  </si>
  <si>
    <t>31~60日</t>
    <rPh sb="5" eb="6">
      <t>ニチ</t>
    </rPh>
    <phoneticPr fontId="3"/>
  </si>
  <si>
    <t>61~90日</t>
    <rPh sb="5" eb="6">
      <t>ニチ</t>
    </rPh>
    <phoneticPr fontId="3"/>
  </si>
  <si>
    <t>91~120日</t>
    <rPh sb="6" eb="7">
      <t>ニチ</t>
    </rPh>
    <phoneticPr fontId="3"/>
  </si>
  <si>
    <t>121~150日</t>
    <rPh sb="7" eb="8">
      <t>ニチ</t>
    </rPh>
    <phoneticPr fontId="3"/>
  </si>
  <si>
    <t>151日以上</t>
    <rPh sb="3" eb="4">
      <t>ニチ</t>
    </rPh>
    <rPh sb="4" eb="6">
      <t>イジョウ</t>
    </rPh>
    <phoneticPr fontId="3"/>
  </si>
  <si>
    <t>今月のその他支出の金額は？（リース料、支払利息、その他支出等）</t>
    <phoneticPr fontId="3"/>
  </si>
  <si>
    <t>今月の借入金返済額は？</t>
    <phoneticPr fontId="3"/>
  </si>
  <si>
    <t>先月末の現預金残高は？</t>
    <phoneticPr fontId="3"/>
  </si>
  <si>
    <t>サイト(日)</t>
    <rPh sb="4" eb="5">
      <t>ニチ</t>
    </rPh>
    <phoneticPr fontId="3"/>
  </si>
  <si>
    <t>現金(%)</t>
    <rPh sb="0" eb="2">
      <t>ゲンキン</t>
    </rPh>
    <phoneticPr fontId="3"/>
  </si>
  <si>
    <t>手形(%)</t>
    <rPh sb="0" eb="2">
      <t>テガタ</t>
    </rPh>
    <phoneticPr fontId="3"/>
  </si>
  <si>
    <t>構成比(%)</t>
    <rPh sb="0" eb="3">
      <t>コウセイヒ</t>
    </rPh>
    <phoneticPr fontId="3"/>
  </si>
  <si>
    <t>販売先入力表</t>
    <rPh sb="0" eb="3">
      <t>ハンバイサキ</t>
    </rPh>
    <rPh sb="3" eb="5">
      <t>ニュウリョク</t>
    </rPh>
    <rPh sb="5" eb="6">
      <t>ヒョウ</t>
    </rPh>
    <phoneticPr fontId="3"/>
  </si>
  <si>
    <t>仕入先入力表</t>
    <rPh sb="0" eb="2">
      <t>シイレ</t>
    </rPh>
    <rPh sb="2" eb="3">
      <t>サキ</t>
    </rPh>
    <rPh sb="3" eb="5">
      <t>ニュウリョク</t>
    </rPh>
    <rPh sb="5" eb="6">
      <t>ヒョウ</t>
    </rPh>
    <phoneticPr fontId="3"/>
  </si>
  <si>
    <t>主要先の条件を販売先入力表に記入してください。</t>
    <phoneticPr fontId="3"/>
  </si>
  <si>
    <t>主要先の条件を仕入先入力表に記入してください。</t>
    <rPh sb="7" eb="9">
      <t>シイレ</t>
    </rPh>
    <phoneticPr fontId="3"/>
  </si>
  <si>
    <r>
      <t>今月の</t>
    </r>
    <r>
      <rPr>
        <u/>
        <sz val="10"/>
        <color theme="1"/>
        <rFont val="游ゴシック"/>
        <family val="3"/>
        <charset val="128"/>
        <scheme val="minor"/>
      </rPr>
      <t>製造原価</t>
    </r>
    <r>
      <rPr>
        <sz val="10"/>
        <color theme="1"/>
        <rFont val="游ゴシック"/>
        <family val="3"/>
        <charset val="128"/>
        <scheme val="minor"/>
      </rPr>
      <t>のうち、減価償却費の金額は？</t>
    </r>
    <rPh sb="0" eb="2">
      <t>コンゲツ</t>
    </rPh>
    <rPh sb="3" eb="5">
      <t>セイゾウ</t>
    </rPh>
    <rPh sb="5" eb="7">
      <t>ゲンカ</t>
    </rPh>
    <rPh sb="11" eb="13">
      <t>ゲンカ</t>
    </rPh>
    <rPh sb="13" eb="15">
      <t>ショウキャク</t>
    </rPh>
    <rPh sb="15" eb="16">
      <t>ヒ</t>
    </rPh>
    <rPh sb="17" eb="19">
      <t>キンガク</t>
    </rPh>
    <phoneticPr fontId="3"/>
  </si>
  <si>
    <r>
      <t>今月の</t>
    </r>
    <r>
      <rPr>
        <u/>
        <sz val="10"/>
        <color theme="1"/>
        <rFont val="游ゴシック"/>
        <family val="3"/>
        <charset val="128"/>
        <scheme val="minor"/>
      </rPr>
      <t>製造原価</t>
    </r>
    <r>
      <rPr>
        <sz val="10"/>
        <color theme="1"/>
        <rFont val="游ゴシック"/>
        <family val="3"/>
        <charset val="128"/>
        <scheme val="minor"/>
      </rPr>
      <t>のうち、リース料の金額は？</t>
    </r>
    <rPh sb="0" eb="2">
      <t>コンゲツ</t>
    </rPh>
    <rPh sb="3" eb="5">
      <t>セイゾウ</t>
    </rPh>
    <rPh sb="5" eb="7">
      <t>ゲンカ</t>
    </rPh>
    <rPh sb="14" eb="15">
      <t>リョウ</t>
    </rPh>
    <rPh sb="16" eb="18">
      <t>キンガク</t>
    </rPh>
    <phoneticPr fontId="3"/>
  </si>
  <si>
    <r>
      <t>今月の</t>
    </r>
    <r>
      <rPr>
        <u/>
        <sz val="10"/>
        <color theme="1"/>
        <rFont val="游ゴシック"/>
        <family val="3"/>
        <charset val="128"/>
        <scheme val="minor"/>
      </rPr>
      <t>販管費</t>
    </r>
    <r>
      <rPr>
        <sz val="10"/>
        <color theme="1"/>
        <rFont val="游ゴシック"/>
        <family val="3"/>
        <charset val="128"/>
        <scheme val="minor"/>
      </rPr>
      <t>のうち、減価償却費の金額は？</t>
    </r>
    <rPh sb="0" eb="2">
      <t>コンゲツ</t>
    </rPh>
    <rPh sb="3" eb="6">
      <t>ハンカンヒ</t>
    </rPh>
    <rPh sb="10" eb="12">
      <t>ゲンカ</t>
    </rPh>
    <rPh sb="12" eb="14">
      <t>ショウキャク</t>
    </rPh>
    <rPh sb="14" eb="15">
      <t>ヒ</t>
    </rPh>
    <rPh sb="16" eb="18">
      <t>キンガク</t>
    </rPh>
    <phoneticPr fontId="3"/>
  </si>
  <si>
    <r>
      <t>今月の</t>
    </r>
    <r>
      <rPr>
        <u/>
        <sz val="10"/>
        <color theme="1"/>
        <rFont val="游ゴシック"/>
        <family val="3"/>
        <charset val="128"/>
        <scheme val="minor"/>
      </rPr>
      <t>販管費</t>
    </r>
    <r>
      <rPr>
        <sz val="10"/>
        <color theme="1"/>
        <rFont val="游ゴシック"/>
        <family val="3"/>
        <charset val="128"/>
        <scheme val="minor"/>
      </rPr>
      <t>のうち、リース料の金額は？</t>
    </r>
    <rPh sb="0" eb="2">
      <t>コンゲツ</t>
    </rPh>
    <rPh sb="3" eb="6">
      <t>ハンカンヒ</t>
    </rPh>
    <rPh sb="13" eb="14">
      <t>リョウ</t>
    </rPh>
    <rPh sb="15" eb="17">
      <t>キンガク</t>
    </rPh>
    <phoneticPr fontId="3"/>
  </si>
  <si>
    <t>本業以外の収入を教えてください。（助成金等）</t>
    <rPh sb="0" eb="2">
      <t>ホンギョウ</t>
    </rPh>
    <rPh sb="2" eb="4">
      <t>イガイ</t>
    </rPh>
    <rPh sb="5" eb="7">
      <t>シュウニュウ</t>
    </rPh>
    <rPh sb="8" eb="9">
      <t>オシ</t>
    </rPh>
    <rPh sb="17" eb="20">
      <t>ジョセイキン</t>
    </rPh>
    <rPh sb="20" eb="21">
      <t>ナド</t>
    </rPh>
    <phoneticPr fontId="3"/>
  </si>
  <si>
    <t>直近2ヶ月の売上・仕入の金額を教えてください。</t>
    <rPh sb="0" eb="2">
      <t>チョッキン</t>
    </rPh>
    <rPh sb="4" eb="5">
      <t>ゲツ</t>
    </rPh>
    <rPh sb="6" eb="8">
      <t>ウリアゲ</t>
    </rPh>
    <rPh sb="9" eb="11">
      <t>シイレ</t>
    </rPh>
    <rPh sb="12" eb="14">
      <t>キンガク</t>
    </rPh>
    <rPh sb="15" eb="16">
      <t>オシ</t>
    </rPh>
    <phoneticPr fontId="3"/>
  </si>
  <si>
    <t>今後6ヶ月の売上・仕入の予定金額を教えてください。</t>
    <rPh sb="0" eb="2">
      <t>コンゴ</t>
    </rPh>
    <rPh sb="4" eb="5">
      <t>ゲツ</t>
    </rPh>
    <rPh sb="6" eb="8">
      <t>ウリアゲ</t>
    </rPh>
    <rPh sb="9" eb="11">
      <t>シイレ</t>
    </rPh>
    <rPh sb="12" eb="14">
      <t>ヨテイ</t>
    </rPh>
    <rPh sb="14" eb="16">
      <t>キンガク</t>
    </rPh>
    <rPh sb="17" eb="18">
      <t>オシ</t>
    </rPh>
    <phoneticPr fontId="3"/>
  </si>
  <si>
    <t>売上の回収方法と入金までの期間を教えてください。</t>
    <rPh sb="0" eb="2">
      <t>ウリアゲ</t>
    </rPh>
    <rPh sb="3" eb="5">
      <t>カイシュウ</t>
    </rPh>
    <rPh sb="5" eb="7">
      <t>ホウホウ</t>
    </rPh>
    <rPh sb="8" eb="10">
      <t>ニュウキン</t>
    </rPh>
    <rPh sb="13" eb="15">
      <t>キカン</t>
    </rPh>
    <rPh sb="16" eb="17">
      <t>オシ</t>
    </rPh>
    <phoneticPr fontId="3"/>
  </si>
  <si>
    <t>仕入の支払方法と入金までの期間を教えてください。</t>
    <rPh sb="0" eb="2">
      <t>シイレ</t>
    </rPh>
    <rPh sb="3" eb="5">
      <t>シハライ</t>
    </rPh>
    <rPh sb="5" eb="7">
      <t>ホウホウ</t>
    </rPh>
    <rPh sb="8" eb="10">
      <t>ニュウキン</t>
    </rPh>
    <rPh sb="13" eb="15">
      <t>キカン</t>
    </rPh>
    <rPh sb="16" eb="17">
      <t>オシ</t>
    </rPh>
    <phoneticPr fontId="3"/>
  </si>
  <si>
    <t>支払予定の経費について、教えてください。</t>
    <rPh sb="0" eb="2">
      <t>シハライ</t>
    </rPh>
    <rPh sb="2" eb="4">
      <t>ヨテイ</t>
    </rPh>
    <rPh sb="5" eb="7">
      <t>ケイヒ</t>
    </rPh>
    <rPh sb="12" eb="13">
      <t>オシ</t>
    </rPh>
    <phoneticPr fontId="3"/>
  </si>
  <si>
    <t>支払予定について、教えてください。</t>
    <rPh sb="0" eb="2">
      <t>シハライ</t>
    </rPh>
    <rPh sb="2" eb="4">
      <t>ヨテイ</t>
    </rPh>
    <rPh sb="9" eb="10">
      <t>オシ</t>
    </rPh>
    <phoneticPr fontId="3"/>
  </si>
  <si>
    <t>現預金について、教えてください。</t>
    <rPh sb="0" eb="3">
      <t>ゲンヨキン</t>
    </rPh>
    <rPh sb="8" eb="9">
      <t>オシ</t>
    </rPh>
    <phoneticPr fontId="3"/>
  </si>
  <si>
    <t>うち法人税・消費税</t>
    <rPh sb="2" eb="5">
      <t>ホウジンゼイ</t>
    </rPh>
    <rPh sb="6" eb="8">
      <t>ショウヒ</t>
    </rPh>
    <rPh sb="8" eb="9">
      <t>ゼイ</t>
    </rPh>
    <phoneticPr fontId="3"/>
  </si>
  <si>
    <t>今月の税金・社会保険料の金額は？</t>
    <phoneticPr fontId="3"/>
  </si>
  <si>
    <t>（6ヶ月以内に支払う消費税等も加味し、平準化した金額を入力）</t>
    <phoneticPr fontId="3"/>
  </si>
  <si>
    <t>税金・社会保険料</t>
    <rPh sb="0" eb="2">
      <t>ゼイキン</t>
    </rPh>
    <rPh sb="3" eb="5">
      <t>シャカイ</t>
    </rPh>
    <rPh sb="5" eb="8">
      <t>ホケンリョウ</t>
    </rPh>
    <phoneticPr fontId="3"/>
  </si>
  <si>
    <t>うち法人税・消費税</t>
    <rPh sb="2" eb="5">
      <t>ホウジンゼイ</t>
    </rPh>
    <rPh sb="6" eb="9">
      <t>ショウヒゼイ</t>
    </rPh>
    <phoneticPr fontId="3"/>
  </si>
  <si>
    <t>税金・社会保険料</t>
    <rPh sb="0" eb="2">
      <t>ゼイキン</t>
    </rPh>
    <rPh sb="3" eb="8">
      <t>シャカイホケンリョウ</t>
    </rPh>
    <phoneticPr fontId="3"/>
  </si>
  <si>
    <t>千円</t>
    <rPh sb="0" eb="2">
      <t>センエン</t>
    </rPh>
    <phoneticPr fontId="3"/>
  </si>
  <si>
    <r>
      <t>今月の</t>
    </r>
    <r>
      <rPr>
        <u/>
        <sz val="10"/>
        <color theme="1"/>
        <rFont val="游ゴシック"/>
        <family val="3"/>
        <charset val="128"/>
        <scheme val="minor"/>
      </rPr>
      <t>製造原価</t>
    </r>
    <r>
      <rPr>
        <sz val="10"/>
        <color theme="1"/>
        <rFont val="游ゴシック"/>
        <family val="3"/>
        <charset val="128"/>
        <scheme val="minor"/>
      </rPr>
      <t>の総額は？</t>
    </r>
    <rPh sb="0" eb="2">
      <t>コンゲツ</t>
    </rPh>
    <rPh sb="3" eb="5">
      <t>セイゾウ</t>
    </rPh>
    <rPh sb="5" eb="7">
      <t>ゲンカ</t>
    </rPh>
    <rPh sb="8" eb="10">
      <t>ソウガク</t>
    </rPh>
    <phoneticPr fontId="3"/>
  </si>
  <si>
    <r>
      <t>今月の</t>
    </r>
    <r>
      <rPr>
        <u/>
        <sz val="10"/>
        <color theme="1"/>
        <rFont val="游ゴシック"/>
        <family val="3"/>
        <charset val="128"/>
        <scheme val="minor"/>
      </rPr>
      <t>販管費</t>
    </r>
    <r>
      <rPr>
        <sz val="10"/>
        <color theme="1"/>
        <rFont val="游ゴシック"/>
        <family val="3"/>
        <charset val="128"/>
        <scheme val="minor"/>
      </rPr>
      <t>の総額は？</t>
    </r>
    <rPh sb="0" eb="2">
      <t>コンゲツ</t>
    </rPh>
    <rPh sb="3" eb="6">
      <t>ハンカンヒ</t>
    </rPh>
    <rPh sb="7" eb="9">
      <t>ソウガク</t>
    </rPh>
    <phoneticPr fontId="3"/>
  </si>
  <si>
    <t>資金繰り予定表</t>
    <rPh sb="0" eb="2">
      <t>シキン</t>
    </rPh>
    <rPh sb="2" eb="3">
      <t>グ</t>
    </rPh>
    <rPh sb="4" eb="6">
      <t>ヨテイ</t>
    </rPh>
    <rPh sb="6" eb="7">
      <t>ヒョウ</t>
    </rPh>
    <phoneticPr fontId="3"/>
  </si>
  <si>
    <t>達成率を加味した資金繰り予定表</t>
    <rPh sb="0" eb="3">
      <t>タッセイリツ</t>
    </rPh>
    <rPh sb="4" eb="6">
      <t>カミ</t>
    </rPh>
    <rPh sb="8" eb="10">
      <t>シキン</t>
    </rPh>
    <rPh sb="10" eb="11">
      <t>グ</t>
    </rPh>
    <rPh sb="12" eb="14">
      <t>ヨテイ</t>
    </rPh>
    <rPh sb="14" eb="15">
      <t>ヒョウ</t>
    </rPh>
    <phoneticPr fontId="3"/>
  </si>
  <si>
    <t>※</t>
    <phoneticPr fontId="3"/>
  </si>
  <si>
    <t>に数値を入力してください。</t>
    <rPh sb="1" eb="3">
      <t>スウチ</t>
    </rPh>
    <rPh sb="4" eb="6">
      <t>ニュウリョク</t>
    </rPh>
    <phoneticPr fontId="3"/>
  </si>
  <si>
    <t>には数値を直接入力してください。</t>
    <rPh sb="2" eb="4">
      <t>スウチ</t>
    </rPh>
    <rPh sb="5" eb="9">
      <t>チョクセツニュウリョク</t>
    </rPh>
    <phoneticPr fontId="3"/>
  </si>
  <si>
    <t>営業経費等</t>
    <rPh sb="0" eb="2">
      <t>エイギョウ</t>
    </rPh>
    <rPh sb="2" eb="4">
      <t>ケイヒ</t>
    </rPh>
    <rPh sb="4" eb="5">
      <t>ナド</t>
    </rPh>
    <phoneticPr fontId="3"/>
  </si>
  <si>
    <r>
      <t>今月の営業経費等の金額は？　</t>
    </r>
    <r>
      <rPr>
        <sz val="10"/>
        <color rgb="FFFF0000"/>
        <rFont val="游ゴシック"/>
        <family val="3"/>
        <charset val="128"/>
        <scheme val="minor"/>
      </rPr>
      <t>※下記の項目を入力することで自動計算</t>
    </r>
    <rPh sb="3" eb="5">
      <t>エイギョウ</t>
    </rPh>
    <rPh sb="7" eb="8">
      <t>ナド</t>
    </rPh>
    <rPh sb="15" eb="17">
      <t>カキ</t>
    </rPh>
    <rPh sb="18" eb="20">
      <t>コウモク</t>
    </rPh>
    <rPh sb="21" eb="23">
      <t>ニュウリョク</t>
    </rPh>
    <rPh sb="28" eb="30">
      <t>ジドウ</t>
    </rPh>
    <rPh sb="30" eb="32">
      <t>ケイサン</t>
    </rPh>
    <phoneticPr fontId="3"/>
  </si>
  <si>
    <t>その他支出</t>
    <rPh sb="2" eb="3">
      <t>タ</t>
    </rPh>
    <rPh sb="3" eb="5">
      <t>シシュツ</t>
    </rPh>
    <phoneticPr fontId="3"/>
  </si>
  <si>
    <r>
      <t>今月の人件費の金額は？（</t>
    </r>
    <r>
      <rPr>
        <u/>
        <sz val="10"/>
        <color theme="1"/>
        <rFont val="游ゴシック"/>
        <family val="3"/>
        <charset val="128"/>
        <scheme val="minor"/>
      </rPr>
      <t>販管費</t>
    </r>
    <r>
      <rPr>
        <sz val="10"/>
        <color theme="1"/>
        <rFont val="游ゴシック"/>
        <family val="3"/>
        <charset val="128"/>
        <scheme val="minor"/>
      </rPr>
      <t>の役員報酬、給与、賞与等）</t>
    </r>
    <rPh sb="0" eb="2">
      <t>コンゲツ</t>
    </rPh>
    <rPh sb="3" eb="6">
      <t>ジンケンヒ</t>
    </rPh>
    <rPh sb="7" eb="9">
      <t>キンガク</t>
    </rPh>
    <rPh sb="12" eb="15">
      <t>ハンカンヒ</t>
    </rPh>
    <rPh sb="13" eb="14">
      <t>カン</t>
    </rPh>
    <rPh sb="14" eb="15">
      <t>ヒ</t>
    </rPh>
    <phoneticPr fontId="3"/>
  </si>
  <si>
    <t>資金繰り予定表作成日</t>
    <rPh sb="4" eb="6">
      <t>ヨテイ</t>
    </rPh>
    <phoneticPr fontId="3"/>
  </si>
  <si>
    <t>　　　　　　　　　　　　　　　　資金繰り予定表</t>
    <rPh sb="16" eb="18">
      <t>シキン</t>
    </rPh>
    <rPh sb="18" eb="19">
      <t>グ</t>
    </rPh>
    <rPh sb="20" eb="22">
      <t>ヨテイ</t>
    </rPh>
    <rPh sb="22" eb="23">
      <t>ヒョウ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</si>
</sst>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_);[Red]\(#,##0\)"/>
    <numFmt numFmtId="177" formatCode="#,##0_ "/>
    <numFmt numFmtId="178" formatCode="[$-411]ge&quot;年&quot;m&quot;月&quot;;@"/>
    <numFmt numFmtId="179" formatCode="#,##0_ ;[Red]\-#,##0\ "/>
    <numFmt numFmtId="180" formatCode="[$-411]ge\.m\.d;@"/>
  </numFmts>
  <fonts count="30" x14ac:knownFonts="1">
    <font>
      <sz val="11"/>
      <color theme="1"/>
      <name val="游ゴシック"/>
      <family val="2"/>
      <charset val="128"/>
      <scheme val="minor"/>
    </font>
    <font>
      <sz val="11"/>
      <color theme="1"/>
      <name val="游ゴシック"/>
      <family val="2"/>
      <charset val="128"/>
      <scheme val="minor"/>
    </font>
    <font>
      <sz val="24"/>
      <color theme="1"/>
      <name val="ＭＳ ゴシック"/>
      <family val="3"/>
      <charset val="128"/>
    </font>
    <font>
      <sz val="6"/>
      <name val="游ゴシック"/>
      <family val="2"/>
      <charset val="128"/>
      <scheme val="minor"/>
    </font>
    <font>
      <sz val="20"/>
      <color theme="1"/>
      <name val="ＭＳ ゴシック"/>
      <family val="3"/>
      <charset val="128"/>
    </font>
    <font>
      <b/>
      <sz val="20"/>
      <color theme="1"/>
      <name val="ＭＳ ゴシック"/>
      <family val="3"/>
      <charset val="128"/>
    </font>
    <font>
      <sz val="11"/>
      <color theme="1"/>
      <name val="游ゴシック"/>
      <family val="3"/>
      <charset val="128"/>
      <scheme val="minor"/>
    </font>
    <font>
      <b/>
      <sz val="24"/>
      <color theme="1"/>
      <name val="ＭＳ ゴシック"/>
      <family val="3"/>
      <charset val="128"/>
    </font>
    <font>
      <b/>
      <sz val="16"/>
      <color theme="1"/>
      <name val="游ゴシック"/>
      <family val="3"/>
      <charset val="128"/>
      <scheme val="minor"/>
    </font>
    <font>
      <sz val="11"/>
      <color theme="0"/>
      <name val="游ゴシック"/>
      <family val="2"/>
      <charset val="128"/>
      <scheme val="minor"/>
    </font>
    <font>
      <b/>
      <sz val="18"/>
      <color theme="1"/>
      <name val="游ゴシック"/>
      <family val="3"/>
      <charset val="128"/>
      <scheme val="minor"/>
    </font>
    <font>
      <b/>
      <sz val="14"/>
      <color theme="1"/>
      <name val="游ゴシック"/>
      <family val="2"/>
      <charset val="128"/>
      <scheme val="minor"/>
    </font>
    <font>
      <b/>
      <sz val="14"/>
      <color theme="1"/>
      <name val="游ゴシック"/>
      <family val="3"/>
      <charset val="128"/>
      <scheme val="minor"/>
    </font>
    <font>
      <sz val="12"/>
      <color theme="1"/>
      <name val="游ゴシック"/>
      <family val="3"/>
      <charset val="128"/>
      <scheme val="minor"/>
    </font>
    <font>
      <b/>
      <sz val="12"/>
      <color theme="1"/>
      <name val="游ゴシック"/>
      <family val="3"/>
      <charset val="128"/>
      <scheme val="minor"/>
    </font>
    <font>
      <sz val="12"/>
      <color theme="0"/>
      <name val="游ゴシック"/>
      <family val="3"/>
      <charset val="128"/>
      <scheme val="minor"/>
    </font>
    <font>
      <b/>
      <sz val="12"/>
      <color theme="0"/>
      <name val="游ゴシック"/>
      <family val="3"/>
      <charset val="128"/>
      <scheme val="minor"/>
    </font>
    <font>
      <b/>
      <sz val="11"/>
      <color theme="1"/>
      <name val="游ゴシック"/>
      <family val="3"/>
      <charset val="128"/>
      <scheme val="minor"/>
    </font>
    <font>
      <sz val="11"/>
      <name val="ＭＳ Ｐゴシック"/>
      <family val="3"/>
      <charset val="128"/>
    </font>
    <font>
      <sz val="9"/>
      <color theme="1"/>
      <name val="游ゴシック"/>
      <family val="3"/>
      <charset val="128"/>
      <scheme val="minor"/>
    </font>
    <font>
      <sz val="9"/>
      <color theme="1"/>
      <name val="游ゴシック"/>
      <family val="2"/>
      <charset val="128"/>
      <scheme val="minor"/>
    </font>
    <font>
      <sz val="8"/>
      <color theme="1"/>
      <name val="游ゴシック"/>
      <family val="2"/>
      <charset val="128"/>
      <scheme val="minor"/>
    </font>
    <font>
      <b/>
      <sz val="9"/>
      <color theme="1"/>
      <name val="游ゴシック"/>
      <family val="3"/>
      <charset val="128"/>
      <scheme val="minor"/>
    </font>
    <font>
      <sz val="10"/>
      <color theme="1"/>
      <name val="游ゴシック"/>
      <family val="2"/>
      <charset val="128"/>
      <scheme val="minor"/>
    </font>
    <font>
      <sz val="10"/>
      <color theme="1"/>
      <name val="游ゴシック"/>
      <family val="3"/>
      <charset val="128"/>
      <scheme val="minor"/>
    </font>
    <font>
      <sz val="10.5"/>
      <color theme="1"/>
      <name val="游ゴシック"/>
      <family val="3"/>
      <charset val="128"/>
      <scheme val="minor"/>
    </font>
    <font>
      <u/>
      <sz val="10"/>
      <color theme="1"/>
      <name val="游ゴシック"/>
      <family val="3"/>
      <charset val="128"/>
      <scheme val="minor"/>
    </font>
    <font>
      <sz val="10"/>
      <color rgb="FFFF0000"/>
      <name val="游ゴシック"/>
      <family val="3"/>
      <charset val="128"/>
      <scheme val="minor"/>
    </font>
    <font>
      <sz val="8"/>
      <color theme="1"/>
      <name val="游ゴシック"/>
      <family val="3"/>
      <charset val="128"/>
      <scheme val="minor"/>
    </font>
    <font>
      <b/>
      <sz val="18"/>
      <color rgb="FFFF0000"/>
      <name val="游ゴシック"/>
      <family val="3"/>
      <charset val="128"/>
      <scheme val="minor"/>
    </font>
  </fonts>
  <fills count="12">
    <fill>
      <patternFill patternType="none"/>
    </fill>
    <fill>
      <patternFill patternType="gray125"/>
    </fill>
    <fill>
      <patternFill patternType="solid">
        <fgColor rgb="FFFFC000"/>
        <bgColor indexed="64"/>
      </patternFill>
    </fill>
    <fill>
      <patternFill patternType="solid">
        <fgColor theme="0"/>
        <bgColor indexed="64"/>
      </patternFill>
    </fill>
    <fill>
      <patternFill patternType="solid">
        <fgColor theme="4" tint="-0.249977111117893"/>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rgb="FFFFF2CC"/>
        <bgColor indexed="64"/>
      </patternFill>
    </fill>
    <fill>
      <patternFill patternType="solid">
        <fgColor theme="1" tint="0.499984740745262"/>
        <bgColor indexed="64"/>
      </patternFill>
    </fill>
    <fill>
      <patternFill patternType="solid">
        <fgColor theme="0" tint="-0.14999847407452621"/>
        <bgColor indexed="64"/>
      </patternFill>
    </fill>
    <fill>
      <patternFill patternType="solid">
        <fgColor rgb="FFFFFF66"/>
        <bgColor indexed="64"/>
      </patternFill>
    </fill>
    <fill>
      <patternFill patternType="solid">
        <fgColor rgb="FFCCFF99"/>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bottom/>
      <diagonal/>
    </border>
    <border>
      <left/>
      <right style="thin">
        <color auto="1"/>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hair">
        <color auto="1"/>
      </bottom>
      <diagonal/>
    </border>
    <border>
      <left/>
      <right/>
      <top/>
      <bottom style="hair">
        <color auto="1"/>
      </bottom>
      <diagonal/>
    </border>
    <border>
      <left/>
      <right style="thin">
        <color auto="1"/>
      </right>
      <top/>
      <bottom style="hair">
        <color auto="1"/>
      </bottom>
      <diagonal/>
    </border>
    <border>
      <left style="thin">
        <color indexed="64"/>
      </left>
      <right style="thin">
        <color indexed="64"/>
      </right>
      <top style="hair">
        <color auto="1"/>
      </top>
      <bottom style="hair">
        <color auto="1"/>
      </bottom>
      <diagonal/>
    </border>
    <border>
      <left/>
      <right/>
      <top style="hair">
        <color auto="1"/>
      </top>
      <bottom style="hair">
        <color auto="1"/>
      </bottom>
      <diagonal/>
    </border>
    <border>
      <left/>
      <right style="thin">
        <color auto="1"/>
      </right>
      <top style="hair">
        <color auto="1"/>
      </top>
      <bottom style="hair">
        <color auto="1"/>
      </bottom>
      <diagonal/>
    </border>
    <border>
      <left style="thin">
        <color indexed="64"/>
      </left>
      <right style="thin">
        <color indexed="64"/>
      </right>
      <top style="hair">
        <color auto="1"/>
      </top>
      <bottom/>
      <diagonal/>
    </border>
    <border>
      <left/>
      <right/>
      <top style="hair">
        <color auto="1"/>
      </top>
      <bottom/>
      <diagonal/>
    </border>
    <border>
      <left/>
      <right style="thin">
        <color auto="1"/>
      </right>
      <top style="hair">
        <color auto="1"/>
      </top>
      <bottom/>
      <diagonal/>
    </border>
    <border>
      <left style="thin">
        <color indexed="64"/>
      </left>
      <right style="thin">
        <color auto="1"/>
      </right>
      <top style="thin">
        <color indexed="64"/>
      </top>
      <bottom style="hair">
        <color auto="1"/>
      </bottom>
      <diagonal/>
    </border>
    <border>
      <left/>
      <right/>
      <top style="thin">
        <color indexed="64"/>
      </top>
      <bottom style="hair">
        <color auto="1"/>
      </bottom>
      <diagonal/>
    </border>
    <border>
      <left/>
      <right style="thin">
        <color auto="1"/>
      </right>
      <top style="thin">
        <color indexed="64"/>
      </top>
      <bottom style="hair">
        <color auto="1"/>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bottom style="hair">
        <color auto="1"/>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hair">
        <color indexed="64"/>
      </right>
      <top style="thin">
        <color indexed="64"/>
      </top>
      <bottom/>
      <diagonal/>
    </border>
  </borders>
  <cellStyleXfs count="7">
    <xf numFmtId="0" fontId="0"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xf numFmtId="9" fontId="18" fillId="0" borderId="0" applyFont="0" applyFill="0" applyBorder="0" applyAlignment="0" applyProtection="0"/>
    <xf numFmtId="38" fontId="18" fillId="0" borderId="0" applyFont="0" applyFill="0" applyBorder="0" applyAlignment="0" applyProtection="0">
      <alignment vertical="center"/>
    </xf>
    <xf numFmtId="0" fontId="18" fillId="0" borderId="0"/>
    <xf numFmtId="0" fontId="18" fillId="0" borderId="0">
      <alignment vertical="center"/>
    </xf>
  </cellStyleXfs>
  <cellXfs count="268">
    <xf numFmtId="0" fontId="0" fillId="0" borderId="0" xfId="0">
      <alignment vertical="center"/>
    </xf>
    <xf numFmtId="0" fontId="2" fillId="0" borderId="1" xfId="0" applyFont="1" applyBorder="1" applyAlignment="1">
      <alignment horizontal="right" vertical="center"/>
    </xf>
    <xf numFmtId="0" fontId="2" fillId="0" borderId="9" xfId="0" applyFont="1" applyBorder="1" applyAlignment="1">
      <alignment horizontal="center" vertical="center"/>
    </xf>
    <xf numFmtId="38" fontId="0" fillId="0" borderId="0" xfId="1" applyFont="1">
      <alignment vertical="center"/>
    </xf>
    <xf numFmtId="38" fontId="4" fillId="0" borderId="0" xfId="1" applyFont="1" applyAlignment="1">
      <alignment horizontal="right" vertical="center"/>
    </xf>
    <xf numFmtId="49" fontId="4" fillId="0" borderId="10" xfId="0" applyNumberFormat="1" applyFont="1" applyBorder="1" applyAlignment="1">
      <alignment horizontal="center" vertical="center"/>
    </xf>
    <xf numFmtId="38" fontId="4" fillId="0" borderId="1" xfId="1" applyFont="1" applyBorder="1" applyAlignment="1">
      <alignment horizontal="center" vertical="center"/>
    </xf>
    <xf numFmtId="0" fontId="5" fillId="0" borderId="1" xfId="0" applyFont="1" applyBorder="1" applyAlignment="1">
      <alignment horizontal="left" vertical="center"/>
    </xf>
    <xf numFmtId="38" fontId="4" fillId="0" borderId="11" xfId="1" applyFont="1" applyBorder="1">
      <alignment vertical="center"/>
    </xf>
    <xf numFmtId="38" fontId="4" fillId="0" borderId="1" xfId="1" applyFont="1" applyBorder="1">
      <alignment vertical="center"/>
    </xf>
    <xf numFmtId="38" fontId="4" fillId="0" borderId="12" xfId="1" applyFont="1" applyBorder="1">
      <alignment vertical="center"/>
    </xf>
    <xf numFmtId="0" fontId="4" fillId="0" borderId="13" xfId="0" applyFont="1" applyBorder="1" applyAlignment="1">
      <alignment horizontal="left" vertical="center"/>
    </xf>
    <xf numFmtId="38" fontId="4" fillId="0" borderId="14" xfId="1" applyFont="1" applyBorder="1">
      <alignment vertical="center"/>
    </xf>
    <xf numFmtId="38" fontId="4" fillId="0" borderId="13" xfId="1" applyFont="1" applyBorder="1">
      <alignment vertical="center"/>
    </xf>
    <xf numFmtId="38" fontId="4" fillId="0" borderId="15" xfId="1" applyFont="1" applyBorder="1">
      <alignment vertical="center"/>
    </xf>
    <xf numFmtId="0" fontId="4" fillId="0" borderId="16" xfId="0" applyFont="1" applyBorder="1" applyAlignment="1">
      <alignment horizontal="left" vertical="center"/>
    </xf>
    <xf numFmtId="38" fontId="4" fillId="0" borderId="17" xfId="1" applyFont="1" applyBorder="1">
      <alignment vertical="center"/>
    </xf>
    <xf numFmtId="38" fontId="4" fillId="0" borderId="16" xfId="1" applyFont="1" applyBorder="1">
      <alignment vertical="center"/>
    </xf>
    <xf numFmtId="38" fontId="4" fillId="0" borderId="18" xfId="1" applyFont="1" applyBorder="1">
      <alignment vertical="center"/>
    </xf>
    <xf numFmtId="0" fontId="4" fillId="0" borderId="19" xfId="0" applyFont="1" applyBorder="1" applyAlignment="1">
      <alignment horizontal="left" vertical="center"/>
    </xf>
    <xf numFmtId="38" fontId="4" fillId="0" borderId="20" xfId="1" applyFont="1" applyBorder="1">
      <alignment vertical="center"/>
    </xf>
    <xf numFmtId="38" fontId="4" fillId="0" borderId="19" xfId="1" applyFont="1" applyBorder="1">
      <alignment vertical="center"/>
    </xf>
    <xf numFmtId="38" fontId="4" fillId="0" borderId="21" xfId="1" applyFont="1" applyBorder="1">
      <alignment vertical="center"/>
    </xf>
    <xf numFmtId="0" fontId="5" fillId="0" borderId="10" xfId="0" applyFont="1" applyBorder="1" applyAlignment="1">
      <alignment horizontal="left" vertical="center" wrapText="1"/>
    </xf>
    <xf numFmtId="38" fontId="4" fillId="0" borderId="4" xfId="1" applyFont="1" applyBorder="1">
      <alignment vertical="center"/>
    </xf>
    <xf numFmtId="38" fontId="4" fillId="0" borderId="10" xfId="1" applyFont="1" applyBorder="1">
      <alignment vertical="center"/>
    </xf>
    <xf numFmtId="38" fontId="4" fillId="0" borderId="3" xfId="1" applyFont="1" applyBorder="1">
      <alignment vertical="center"/>
    </xf>
    <xf numFmtId="0" fontId="4" fillId="0" borderId="22" xfId="0" applyFont="1" applyBorder="1" applyAlignment="1">
      <alignment horizontal="left" vertical="center"/>
    </xf>
    <xf numFmtId="38" fontId="4" fillId="0" borderId="23" xfId="1" applyFont="1" applyBorder="1">
      <alignment vertical="center"/>
    </xf>
    <xf numFmtId="38" fontId="4" fillId="0" borderId="22" xfId="1" applyFont="1" applyBorder="1">
      <alignment vertical="center"/>
    </xf>
    <xf numFmtId="38" fontId="4" fillId="0" borderId="24" xfId="1" applyFont="1" applyBorder="1">
      <alignment vertical="center"/>
    </xf>
    <xf numFmtId="0" fontId="5" fillId="0" borderId="1" xfId="0" applyFont="1" applyBorder="1" applyAlignment="1">
      <alignment horizontal="left" vertical="center" wrapText="1"/>
    </xf>
    <xf numFmtId="0" fontId="5" fillId="0" borderId="26" xfId="0" applyFont="1" applyBorder="1" applyAlignment="1">
      <alignment horizontal="left" vertical="center" wrapText="1"/>
    </xf>
    <xf numFmtId="38" fontId="4" fillId="0" borderId="0" xfId="1" applyFont="1">
      <alignment vertical="center"/>
    </xf>
    <xf numFmtId="38" fontId="4" fillId="0" borderId="26" xfId="1" applyFont="1" applyBorder="1">
      <alignment vertical="center"/>
    </xf>
    <xf numFmtId="38" fontId="4" fillId="0" borderId="6" xfId="1" applyFont="1" applyBorder="1">
      <alignment vertical="center"/>
    </xf>
    <xf numFmtId="0" fontId="7" fillId="0" borderId="0" xfId="0" applyFont="1">
      <alignment vertical="center"/>
    </xf>
    <xf numFmtId="0" fontId="4" fillId="0" borderId="26" xfId="0" applyFont="1" applyBorder="1" applyAlignment="1">
      <alignment horizontal="left" vertical="center"/>
    </xf>
    <xf numFmtId="38" fontId="4" fillId="0" borderId="0" xfId="1" applyFont="1" applyBorder="1">
      <alignment vertical="center"/>
    </xf>
    <xf numFmtId="0" fontId="4" fillId="0" borderId="27" xfId="0" applyFont="1" applyBorder="1" applyAlignment="1">
      <alignment horizontal="left" vertical="center"/>
    </xf>
    <xf numFmtId="38" fontId="4" fillId="0" borderId="28" xfId="1" applyFont="1" applyBorder="1">
      <alignment vertical="center"/>
    </xf>
    <xf numFmtId="38" fontId="4" fillId="0" borderId="27" xfId="1" applyFont="1" applyBorder="1">
      <alignment vertical="center"/>
    </xf>
    <xf numFmtId="38" fontId="4" fillId="0" borderId="29" xfId="1" applyFont="1" applyBorder="1">
      <alignment vertical="center"/>
    </xf>
    <xf numFmtId="0" fontId="2" fillId="0" borderId="1" xfId="0" applyFont="1" applyBorder="1" applyAlignment="1">
      <alignment horizontal="center" vertical="center"/>
    </xf>
    <xf numFmtId="0" fontId="0" fillId="0" borderId="0" xfId="0" applyAlignment="1">
      <alignment vertical="center" wrapText="1"/>
    </xf>
    <xf numFmtId="177" fontId="0" fillId="2" borderId="1" xfId="0" applyNumberFormat="1" applyFill="1" applyBorder="1">
      <alignment vertical="center"/>
    </xf>
    <xf numFmtId="177" fontId="0" fillId="0" borderId="0" xfId="0" applyNumberFormat="1">
      <alignment vertical="center"/>
    </xf>
    <xf numFmtId="9" fontId="0" fillId="2" borderId="1" xfId="2" applyFont="1" applyFill="1" applyBorder="1">
      <alignment vertical="center"/>
    </xf>
    <xf numFmtId="0" fontId="0" fillId="2" borderId="1" xfId="0" applyFill="1" applyBorder="1">
      <alignment vertical="center"/>
    </xf>
    <xf numFmtId="0" fontId="0" fillId="0" borderId="0" xfId="0" applyAlignment="1">
      <alignment vertical="center" shrinkToFit="1"/>
    </xf>
    <xf numFmtId="0" fontId="0" fillId="0" borderId="37" xfId="0" applyBorder="1" applyAlignment="1">
      <alignment vertical="center" shrinkToFit="1"/>
    </xf>
    <xf numFmtId="9" fontId="0" fillId="2" borderId="38" xfId="0" applyNumberFormat="1" applyFill="1" applyBorder="1">
      <alignment vertical="center"/>
    </xf>
    <xf numFmtId="0" fontId="9" fillId="3" borderId="0" xfId="0" applyFont="1" applyFill="1" applyAlignment="1">
      <alignment vertical="center" shrinkToFit="1"/>
    </xf>
    <xf numFmtId="0" fontId="9" fillId="3" borderId="0" xfId="0" applyFont="1" applyFill="1">
      <alignment vertical="center"/>
    </xf>
    <xf numFmtId="9" fontId="9" fillId="3" borderId="0" xfId="0" applyNumberFormat="1" applyFont="1" applyFill="1">
      <alignment vertical="center"/>
    </xf>
    <xf numFmtId="0" fontId="0" fillId="3" borderId="0" xfId="0" applyFill="1">
      <alignment vertical="center"/>
    </xf>
    <xf numFmtId="9" fontId="0" fillId="3" borderId="0" xfId="2" applyFont="1" applyFill="1">
      <alignment vertical="center"/>
    </xf>
    <xf numFmtId="9" fontId="13" fillId="3" borderId="0" xfId="2" applyFont="1" applyFill="1">
      <alignment vertical="center"/>
    </xf>
    <xf numFmtId="0" fontId="13" fillId="3" borderId="0" xfId="0" applyFont="1" applyFill="1">
      <alignment vertical="center"/>
    </xf>
    <xf numFmtId="0" fontId="13" fillId="0" borderId="0" xfId="0" applyFont="1">
      <alignment vertical="center"/>
    </xf>
    <xf numFmtId="0" fontId="14" fillId="4" borderId="1" xfId="0" applyFont="1" applyFill="1" applyBorder="1" applyAlignment="1">
      <alignment vertical="center" shrinkToFit="1"/>
    </xf>
    <xf numFmtId="178" fontId="15" fillId="4" borderId="1" xfId="0" applyNumberFormat="1" applyFont="1" applyFill="1" applyBorder="1" applyAlignment="1">
      <alignment horizontal="center" vertical="center"/>
    </xf>
    <xf numFmtId="0" fontId="16" fillId="4" borderId="1" xfId="0" applyFont="1" applyFill="1" applyBorder="1" applyAlignment="1">
      <alignment vertical="center" shrinkToFit="1"/>
    </xf>
    <xf numFmtId="0" fontId="14" fillId="0" borderId="1" xfId="0" applyFont="1" applyBorder="1" applyAlignment="1">
      <alignment vertical="center" shrinkToFit="1"/>
    </xf>
    <xf numFmtId="179" fontId="13" fillId="3" borderId="1" xfId="0" applyNumberFormat="1" applyFont="1" applyFill="1" applyBorder="1">
      <alignment vertical="center"/>
    </xf>
    <xf numFmtId="0" fontId="14" fillId="3" borderId="1" xfId="0" applyFont="1" applyFill="1" applyBorder="1" applyAlignment="1">
      <alignment vertical="center" shrinkToFit="1"/>
    </xf>
    <xf numFmtId="179" fontId="13" fillId="0" borderId="1" xfId="0" applyNumberFormat="1" applyFont="1" applyBorder="1">
      <alignment vertical="center"/>
    </xf>
    <xf numFmtId="0" fontId="14" fillId="0" borderId="0" xfId="0" applyFont="1" applyAlignment="1">
      <alignment vertical="center" shrinkToFit="1"/>
    </xf>
    <xf numFmtId="0" fontId="14" fillId="3" borderId="0" xfId="0" applyFont="1" applyFill="1" applyAlignment="1">
      <alignment vertical="center" shrinkToFit="1"/>
    </xf>
    <xf numFmtId="177" fontId="13" fillId="0" borderId="1" xfId="0" applyNumberFormat="1" applyFont="1" applyBorder="1">
      <alignment vertical="center"/>
    </xf>
    <xf numFmtId="0" fontId="14" fillId="5" borderId="1" xfId="0" applyFont="1" applyFill="1" applyBorder="1" applyAlignment="1">
      <alignment vertical="center" shrinkToFit="1"/>
    </xf>
    <xf numFmtId="177" fontId="13" fillId="5" borderId="1" xfId="0" applyNumberFormat="1" applyFont="1" applyFill="1" applyBorder="1">
      <alignment vertical="center"/>
    </xf>
    <xf numFmtId="177" fontId="13" fillId="0" borderId="0" xfId="0" applyNumberFormat="1" applyFont="1">
      <alignment vertical="center"/>
    </xf>
    <xf numFmtId="176" fontId="13" fillId="0" borderId="1" xfId="0" applyNumberFormat="1" applyFont="1" applyBorder="1">
      <alignment vertical="center"/>
    </xf>
    <xf numFmtId="176" fontId="13" fillId="5" borderId="1" xfId="0" applyNumberFormat="1" applyFont="1" applyFill="1" applyBorder="1">
      <alignment vertical="center"/>
    </xf>
    <xf numFmtId="176" fontId="13" fillId="0" borderId="0" xfId="0" applyNumberFormat="1" applyFont="1">
      <alignment vertical="center"/>
    </xf>
    <xf numFmtId="179" fontId="13" fillId="5" borderId="1" xfId="0" applyNumberFormat="1" applyFont="1" applyFill="1" applyBorder="1">
      <alignment vertical="center"/>
    </xf>
    <xf numFmtId="0" fontId="14" fillId="2" borderId="1" xfId="0" applyFont="1" applyFill="1" applyBorder="1" applyAlignment="1">
      <alignment vertical="center" shrinkToFit="1"/>
    </xf>
    <xf numFmtId="179" fontId="13" fillId="2" borderId="1" xfId="0" applyNumberFormat="1" applyFont="1" applyFill="1" applyBorder="1">
      <alignment vertical="center"/>
    </xf>
    <xf numFmtId="0" fontId="0" fillId="0" borderId="1" xfId="0" applyBorder="1">
      <alignment vertical="center"/>
    </xf>
    <xf numFmtId="9" fontId="0" fillId="3" borderId="1" xfId="2" applyFont="1" applyFill="1" applyBorder="1">
      <alignment vertical="center"/>
    </xf>
    <xf numFmtId="0" fontId="0" fillId="3" borderId="9" xfId="0" applyFill="1" applyBorder="1" applyAlignment="1">
      <alignment horizontal="center" vertical="center"/>
    </xf>
    <xf numFmtId="0" fontId="0" fillId="3" borderId="12" xfId="0" applyFill="1" applyBorder="1" applyAlignment="1">
      <alignment horizontal="center" vertical="center"/>
    </xf>
    <xf numFmtId="0" fontId="0" fillId="3" borderId="1" xfId="0" applyFill="1" applyBorder="1">
      <alignment vertical="center"/>
    </xf>
    <xf numFmtId="178" fontId="15" fillId="4" borderId="1" xfId="0" applyNumberFormat="1" applyFont="1" applyFill="1" applyBorder="1" applyAlignment="1">
      <alignment horizontal="center" vertical="center" shrinkToFit="1"/>
    </xf>
    <xf numFmtId="0" fontId="17" fillId="0" borderId="0" xfId="0" applyFont="1" applyAlignment="1">
      <alignment vertical="center" shrinkToFit="1"/>
    </xf>
    <xf numFmtId="0" fontId="17" fillId="0" borderId="0" xfId="0" applyFont="1">
      <alignment vertical="center"/>
    </xf>
    <xf numFmtId="9" fontId="8" fillId="3" borderId="0" xfId="2" applyFont="1" applyFill="1">
      <alignment vertical="center"/>
    </xf>
    <xf numFmtId="0" fontId="8" fillId="3" borderId="0" xfId="0" applyFont="1" applyFill="1">
      <alignment vertical="center"/>
    </xf>
    <xf numFmtId="0" fontId="8" fillId="0" borderId="0" xfId="0" applyFont="1">
      <alignment vertical="center"/>
    </xf>
    <xf numFmtId="0" fontId="14" fillId="6" borderId="1" xfId="0" applyFont="1" applyFill="1" applyBorder="1" applyAlignment="1">
      <alignment vertical="center" shrinkToFit="1"/>
    </xf>
    <xf numFmtId="177" fontId="13" fillId="6" borderId="1" xfId="0" applyNumberFormat="1" applyFont="1" applyFill="1" applyBorder="1">
      <alignment vertical="center"/>
    </xf>
    <xf numFmtId="176" fontId="13" fillId="6" borderId="1" xfId="0" applyNumberFormat="1" applyFont="1" applyFill="1" applyBorder="1">
      <alignment vertical="center"/>
    </xf>
    <xf numFmtId="179" fontId="13" fillId="6" borderId="1" xfId="0" applyNumberFormat="1" applyFont="1" applyFill="1" applyBorder="1">
      <alignment vertical="center"/>
    </xf>
    <xf numFmtId="9" fontId="0" fillId="0" borderId="0" xfId="0" applyNumberFormat="1">
      <alignment vertical="center"/>
    </xf>
    <xf numFmtId="9" fontId="0" fillId="2" borderId="0" xfId="2" applyFont="1" applyFill="1" applyBorder="1">
      <alignment vertical="center"/>
    </xf>
    <xf numFmtId="9" fontId="0" fillId="3" borderId="0" xfId="2" applyFont="1" applyFill="1" applyBorder="1">
      <alignment vertical="center"/>
    </xf>
    <xf numFmtId="177" fontId="0" fillId="8" borderId="1" xfId="0" applyNumberFormat="1" applyFill="1" applyBorder="1">
      <alignment vertical="center"/>
    </xf>
    <xf numFmtId="177" fontId="0" fillId="2" borderId="12" xfId="0" applyNumberFormat="1" applyFill="1" applyBorder="1">
      <alignment vertical="center"/>
    </xf>
    <xf numFmtId="177" fontId="0" fillId="2" borderId="32" xfId="0" applyNumberFormat="1" applyFill="1" applyBorder="1">
      <alignment vertical="center"/>
    </xf>
    <xf numFmtId="177" fontId="0" fillId="0" borderId="1" xfId="0" applyNumberFormat="1" applyBorder="1">
      <alignment vertical="center"/>
    </xf>
    <xf numFmtId="0" fontId="20" fillId="0" borderId="1" xfId="0" applyFont="1" applyBorder="1" applyAlignment="1">
      <alignment horizontal="left" vertical="center"/>
    </xf>
    <xf numFmtId="0" fontId="13" fillId="0" borderId="1" xfId="0" applyFont="1" applyBorder="1" applyAlignment="1">
      <alignment vertical="center" shrinkToFit="1"/>
    </xf>
    <xf numFmtId="38" fontId="13" fillId="0" borderId="1" xfId="1" applyFont="1" applyBorder="1" applyAlignment="1">
      <alignment vertical="center" shrinkToFit="1"/>
    </xf>
    <xf numFmtId="38" fontId="13" fillId="5" borderId="1" xfId="1" applyFont="1" applyFill="1" applyBorder="1" applyAlignment="1">
      <alignment vertical="center" shrinkToFit="1"/>
    </xf>
    <xf numFmtId="38" fontId="13" fillId="0" borderId="0" xfId="1" applyFont="1" applyAlignment="1">
      <alignment vertical="center" shrinkToFit="1"/>
    </xf>
    <xf numFmtId="38" fontId="13" fillId="5" borderId="1" xfId="1" applyFont="1" applyFill="1" applyBorder="1">
      <alignment vertical="center"/>
    </xf>
    <xf numFmtId="38" fontId="13" fillId="7" borderId="1" xfId="1" applyFont="1" applyFill="1" applyBorder="1" applyAlignment="1">
      <alignment vertical="center" shrinkToFit="1"/>
    </xf>
    <xf numFmtId="38" fontId="13" fillId="0" borderId="1" xfId="1" applyFont="1" applyBorder="1">
      <alignment vertical="center"/>
    </xf>
    <xf numFmtId="177" fontId="0" fillId="0" borderId="10" xfId="0" applyNumberFormat="1" applyBorder="1" applyAlignment="1">
      <alignment horizontal="center" vertical="center"/>
    </xf>
    <xf numFmtId="0" fontId="0" fillId="3" borderId="0" xfId="0" applyFill="1" applyAlignment="1">
      <alignment horizontal="center" vertical="center"/>
    </xf>
    <xf numFmtId="38" fontId="13" fillId="0" borderId="1" xfId="0" applyNumberFormat="1" applyFont="1" applyBorder="1" applyAlignment="1">
      <alignment vertical="center" shrinkToFit="1"/>
    </xf>
    <xf numFmtId="0" fontId="0" fillId="0" borderId="0" xfId="0" applyAlignment="1">
      <alignment horizontal="center" vertical="center" textRotation="255" readingOrder="1"/>
    </xf>
    <xf numFmtId="0" fontId="19" fillId="0" borderId="0" xfId="0" applyFont="1" applyAlignment="1">
      <alignment horizontal="center" vertical="top" textRotation="255"/>
    </xf>
    <xf numFmtId="0" fontId="20" fillId="0" borderId="0" xfId="0" applyFont="1" applyAlignment="1">
      <alignment horizontal="left" vertical="center"/>
    </xf>
    <xf numFmtId="177" fontId="0" fillId="0" borderId="11" xfId="0" applyNumberFormat="1" applyBorder="1">
      <alignment vertical="center"/>
    </xf>
    <xf numFmtId="0" fontId="0" fillId="0" borderId="4" xfId="0" applyBorder="1">
      <alignment vertical="center"/>
    </xf>
    <xf numFmtId="0" fontId="17" fillId="0" borderId="0" xfId="0" applyFont="1" applyAlignment="1">
      <alignment horizontal="center" vertical="center"/>
    </xf>
    <xf numFmtId="177" fontId="0" fillId="0" borderId="25" xfId="0" applyNumberFormat="1" applyBorder="1">
      <alignment vertical="center"/>
    </xf>
    <xf numFmtId="0" fontId="20" fillId="0" borderId="25" xfId="0" applyFont="1" applyBorder="1" applyAlignment="1">
      <alignment horizontal="left" vertical="center"/>
    </xf>
    <xf numFmtId="177" fontId="0" fillId="0" borderId="4" xfId="0" applyNumberFormat="1" applyBorder="1">
      <alignment vertical="center"/>
    </xf>
    <xf numFmtId="0" fontId="20" fillId="0" borderId="4" xfId="0" applyFont="1" applyBorder="1" applyAlignment="1">
      <alignment horizontal="left" vertical="center"/>
    </xf>
    <xf numFmtId="9" fontId="0" fillId="0" borderId="0" xfId="2" applyFont="1" applyFill="1" applyBorder="1">
      <alignment vertical="center"/>
    </xf>
    <xf numFmtId="9" fontId="0" fillId="0" borderId="11" xfId="2" applyFont="1" applyFill="1" applyBorder="1">
      <alignment vertical="center"/>
    </xf>
    <xf numFmtId="38" fontId="13" fillId="5" borderId="1" xfId="1" applyFont="1" applyFill="1" applyBorder="1" applyAlignment="1">
      <alignment horizontal="right" vertical="center"/>
    </xf>
    <xf numFmtId="38" fontId="13" fillId="2" borderId="1" xfId="1" applyFont="1" applyFill="1" applyBorder="1">
      <alignment vertical="center"/>
    </xf>
    <xf numFmtId="38" fontId="13" fillId="3" borderId="1" xfId="1" applyFont="1" applyFill="1" applyBorder="1">
      <alignment vertical="center"/>
    </xf>
    <xf numFmtId="38" fontId="14" fillId="0" borderId="0" xfId="1" applyFont="1" applyAlignment="1">
      <alignment vertical="center" shrinkToFit="1"/>
    </xf>
    <xf numFmtId="38" fontId="13" fillId="3" borderId="0" xfId="1" applyFont="1" applyFill="1">
      <alignment vertical="center"/>
    </xf>
    <xf numFmtId="38" fontId="13" fillId="0" borderId="0" xfId="1" applyFont="1">
      <alignment vertical="center"/>
    </xf>
    <xf numFmtId="178" fontId="15" fillId="4" borderId="1" xfId="1" applyNumberFormat="1" applyFont="1" applyFill="1" applyBorder="1" applyAlignment="1">
      <alignment horizontal="center" vertical="center"/>
    </xf>
    <xf numFmtId="178" fontId="15" fillId="4" borderId="1" xfId="1" applyNumberFormat="1" applyFont="1" applyFill="1" applyBorder="1" applyAlignment="1">
      <alignment horizontal="center" vertical="center" shrinkToFit="1"/>
    </xf>
    <xf numFmtId="38" fontId="13" fillId="0" borderId="0" xfId="1" applyFont="1" applyFill="1" applyBorder="1" applyAlignment="1">
      <alignment vertical="center" shrinkToFit="1"/>
    </xf>
    <xf numFmtId="38" fontId="13" fillId="0" borderId="0" xfId="1" applyFont="1" applyFill="1" applyBorder="1">
      <alignment vertical="center"/>
    </xf>
    <xf numFmtId="38" fontId="13" fillId="0" borderId="1" xfId="1" applyFont="1" applyFill="1" applyBorder="1" applyAlignment="1">
      <alignment vertical="center" shrinkToFit="1"/>
    </xf>
    <xf numFmtId="0" fontId="14" fillId="0" borderId="11" xfId="0" applyFont="1" applyBorder="1" applyAlignment="1">
      <alignment vertical="center" shrinkToFit="1"/>
    </xf>
    <xf numFmtId="38" fontId="13" fillId="0" borderId="11" xfId="1" applyFont="1" applyFill="1" applyBorder="1">
      <alignment vertical="center"/>
    </xf>
    <xf numFmtId="177" fontId="6" fillId="0" borderId="1" xfId="0" applyNumberFormat="1" applyFont="1" applyBorder="1">
      <alignment vertical="center"/>
    </xf>
    <xf numFmtId="9" fontId="6" fillId="0" borderId="1" xfId="2" applyFont="1" applyFill="1" applyBorder="1" applyProtection="1">
      <alignment vertical="center"/>
    </xf>
    <xf numFmtId="178" fontId="6" fillId="0" borderId="0" xfId="0" applyNumberFormat="1" applyFont="1">
      <alignment vertical="center"/>
    </xf>
    <xf numFmtId="178" fontId="0" fillId="0" borderId="25" xfId="0" applyNumberFormat="1" applyBorder="1" applyAlignment="1">
      <alignment horizontal="center" vertical="center" wrapText="1" readingOrder="1"/>
    </xf>
    <xf numFmtId="178" fontId="0" fillId="0" borderId="25" xfId="0" applyNumberFormat="1" applyBorder="1" applyAlignment="1">
      <alignment horizontal="center" vertical="center" readingOrder="1"/>
    </xf>
    <xf numFmtId="178" fontId="6" fillId="0" borderId="0" xfId="0" quotePrefix="1" applyNumberFormat="1" applyFont="1" applyAlignment="1">
      <alignment horizontal="right" vertical="center"/>
    </xf>
    <xf numFmtId="178" fontId="6" fillId="0" borderId="0" xfId="0" applyNumberFormat="1" applyFont="1" applyAlignment="1">
      <alignment horizontal="right" vertical="center"/>
    </xf>
    <xf numFmtId="178" fontId="6" fillId="0" borderId="35" xfId="0" quotePrefix="1" applyNumberFormat="1" applyFont="1" applyBorder="1" applyAlignment="1">
      <alignment horizontal="right" vertical="center"/>
    </xf>
    <xf numFmtId="178" fontId="6" fillId="0" borderId="31" xfId="0" applyNumberFormat="1" applyFont="1" applyBorder="1" applyAlignment="1">
      <alignment horizontal="right" vertical="center"/>
    </xf>
    <xf numFmtId="178" fontId="6" fillId="0" borderId="34" xfId="0" applyNumberFormat="1" applyFont="1" applyBorder="1" applyAlignment="1">
      <alignment horizontal="right" vertical="center"/>
    </xf>
    <xf numFmtId="0" fontId="0" fillId="0" borderId="0" xfId="0" applyAlignment="1">
      <alignment horizontal="right" vertical="center"/>
    </xf>
    <xf numFmtId="0" fontId="6" fillId="0" borderId="0" xfId="0" applyFont="1">
      <alignment vertical="center"/>
    </xf>
    <xf numFmtId="0" fontId="6" fillId="0" borderId="0" xfId="0" applyFont="1" applyAlignment="1">
      <alignment horizontal="center" vertical="center"/>
    </xf>
    <xf numFmtId="0" fontId="6" fillId="0" borderId="1" xfId="0" applyFont="1" applyBorder="1">
      <alignment vertical="center"/>
    </xf>
    <xf numFmtId="177" fontId="6" fillId="0" borderId="0" xfId="0" applyNumberFormat="1" applyFont="1">
      <alignment vertical="center"/>
    </xf>
    <xf numFmtId="0" fontId="6" fillId="0" borderId="1" xfId="0" applyFont="1" applyBorder="1" applyAlignment="1">
      <alignment horizontal="left" vertical="center"/>
    </xf>
    <xf numFmtId="0" fontId="19" fillId="0" borderId="0" xfId="0" applyFont="1">
      <alignment vertical="center"/>
    </xf>
    <xf numFmtId="0" fontId="22" fillId="0" borderId="0" xfId="0" applyFont="1" applyAlignment="1">
      <alignment horizontal="center" vertical="center"/>
    </xf>
    <xf numFmtId="9" fontId="19" fillId="0" borderId="0" xfId="0" applyNumberFormat="1" applyFont="1" applyAlignment="1">
      <alignment horizontal="left" vertical="center"/>
    </xf>
    <xf numFmtId="9" fontId="6" fillId="0" borderId="0" xfId="2" applyFont="1" applyFill="1" applyBorder="1" applyProtection="1">
      <alignment vertical="center"/>
    </xf>
    <xf numFmtId="0" fontId="0" fillId="0" borderId="0" xfId="0" applyAlignment="1">
      <alignment horizontal="center" vertical="center" textRotation="255"/>
    </xf>
    <xf numFmtId="178" fontId="21" fillId="0" borderId="0" xfId="0" applyNumberFormat="1" applyFont="1" applyAlignment="1">
      <alignment horizontal="center" vertical="center" wrapText="1"/>
    </xf>
    <xf numFmtId="177" fontId="6" fillId="0" borderId="4" xfId="0" applyNumberFormat="1" applyFont="1" applyBorder="1">
      <alignment vertical="center"/>
    </xf>
    <xf numFmtId="0" fontId="6" fillId="0" borderId="12" xfId="0" applyFont="1" applyBorder="1">
      <alignment vertical="center"/>
    </xf>
    <xf numFmtId="0" fontId="6" fillId="0" borderId="12" xfId="0" applyFont="1" applyBorder="1" applyAlignment="1">
      <alignment horizontal="left" vertical="center"/>
    </xf>
    <xf numFmtId="0" fontId="6" fillId="0" borderId="6" xfId="0" applyFont="1" applyBorder="1">
      <alignment vertical="center"/>
    </xf>
    <xf numFmtId="0" fontId="6" fillId="0" borderId="8" xfId="0" applyFont="1" applyBorder="1">
      <alignment vertical="center"/>
    </xf>
    <xf numFmtId="0" fontId="6" fillId="9" borderId="12" xfId="0" applyFont="1" applyFill="1" applyBorder="1">
      <alignment vertical="center"/>
    </xf>
    <xf numFmtId="0" fontId="0" fillId="9" borderId="12" xfId="0" applyFill="1" applyBorder="1" applyAlignment="1">
      <alignment horizontal="center" vertical="center"/>
    </xf>
    <xf numFmtId="0" fontId="19" fillId="9" borderId="26" xfId="0" applyFont="1" applyFill="1" applyBorder="1" applyAlignment="1">
      <alignment horizontal="center" vertical="center" wrapText="1"/>
    </xf>
    <xf numFmtId="0" fontId="6" fillId="9" borderId="1" xfId="0" applyFont="1" applyFill="1" applyBorder="1">
      <alignment vertical="center"/>
    </xf>
    <xf numFmtId="0" fontId="0" fillId="9" borderId="26" xfId="0" applyFill="1" applyBorder="1">
      <alignment vertical="center"/>
    </xf>
    <xf numFmtId="0" fontId="0" fillId="9" borderId="26" xfId="0" applyFill="1" applyBorder="1" applyAlignment="1">
      <alignment horizontal="center" vertical="center"/>
    </xf>
    <xf numFmtId="0" fontId="19" fillId="9" borderId="32" xfId="0" applyFont="1" applyFill="1" applyBorder="1" applyAlignment="1">
      <alignment horizontal="center" vertical="center" wrapText="1"/>
    </xf>
    <xf numFmtId="0" fontId="0" fillId="9" borderId="32" xfId="0" applyFill="1" applyBorder="1">
      <alignment vertical="center"/>
    </xf>
    <xf numFmtId="0" fontId="6" fillId="9" borderId="1" xfId="0" applyFont="1" applyFill="1" applyBorder="1" applyAlignment="1">
      <alignment vertical="center" shrinkToFit="1"/>
    </xf>
    <xf numFmtId="0" fontId="0" fillId="9" borderId="32" xfId="0" applyFill="1" applyBorder="1" applyAlignment="1">
      <alignment horizontal="center" vertical="center"/>
    </xf>
    <xf numFmtId="0" fontId="6" fillId="9" borderId="12" xfId="0" applyFont="1" applyFill="1" applyBorder="1" applyAlignment="1">
      <alignment horizontal="center" vertical="center"/>
    </xf>
    <xf numFmtId="0" fontId="19" fillId="9" borderId="26" xfId="0" applyFont="1" applyFill="1" applyBorder="1" applyAlignment="1">
      <alignment vertical="center" wrapText="1"/>
    </xf>
    <xf numFmtId="0" fontId="19" fillId="9" borderId="32" xfId="0" applyFont="1" applyFill="1" applyBorder="1" applyAlignment="1">
      <alignment vertical="center" wrapText="1"/>
    </xf>
    <xf numFmtId="0" fontId="6" fillId="0" borderId="32" xfId="0" applyFont="1" applyBorder="1">
      <alignment vertical="center"/>
    </xf>
    <xf numFmtId="0" fontId="0" fillId="0" borderId="0" xfId="0" applyAlignment="1">
      <alignment horizontal="center" vertical="center"/>
    </xf>
    <xf numFmtId="9" fontId="0" fillId="0" borderId="0" xfId="2" applyFont="1" applyFill="1" applyBorder="1" applyProtection="1">
      <alignment vertical="center"/>
      <protection locked="0"/>
    </xf>
    <xf numFmtId="0" fontId="0" fillId="0" borderId="0" xfId="0" applyProtection="1">
      <alignment vertical="center"/>
      <protection locked="0"/>
    </xf>
    <xf numFmtId="9" fontId="0" fillId="0" borderId="0" xfId="0" applyNumberFormat="1" applyProtection="1">
      <alignment vertical="center"/>
      <protection locked="0"/>
    </xf>
    <xf numFmtId="0" fontId="6" fillId="0" borderId="1" xfId="0" applyFont="1" applyBorder="1" applyAlignment="1">
      <alignment vertical="center" shrinkToFit="1"/>
    </xf>
    <xf numFmtId="0" fontId="6" fillId="0" borderId="0" xfId="0" applyFont="1" applyAlignment="1">
      <alignment vertical="center" shrinkToFit="1"/>
    </xf>
    <xf numFmtId="0" fontId="24" fillId="0" borderId="0" xfId="0" applyFont="1">
      <alignment vertical="center"/>
    </xf>
    <xf numFmtId="0" fontId="23" fillId="0" borderId="0" xfId="0" applyFont="1">
      <alignment vertical="center"/>
    </xf>
    <xf numFmtId="0" fontId="22" fillId="0" borderId="0" xfId="0" applyFont="1" applyAlignment="1">
      <alignment horizontal="right" vertical="center"/>
    </xf>
    <xf numFmtId="0" fontId="21" fillId="0" borderId="4" xfId="0" applyFont="1" applyBorder="1" applyAlignment="1">
      <alignment vertical="center" textRotation="255" readingOrder="1"/>
    </xf>
    <xf numFmtId="0" fontId="6" fillId="0" borderId="25" xfId="0" applyFont="1" applyBorder="1">
      <alignment vertical="center"/>
    </xf>
    <xf numFmtId="0" fontId="24" fillId="0" borderId="1" xfId="0" applyFont="1" applyBorder="1" applyAlignment="1">
      <alignment horizontal="center" vertical="center"/>
    </xf>
    <xf numFmtId="0" fontId="24" fillId="0" borderId="9" xfId="0" applyFont="1" applyBorder="1" applyAlignment="1">
      <alignment horizontal="center" vertical="center"/>
    </xf>
    <xf numFmtId="0" fontId="23" fillId="0" borderId="0" xfId="0" applyFont="1" applyAlignment="1">
      <alignment vertical="center" wrapText="1"/>
    </xf>
    <xf numFmtId="0" fontId="24" fillId="0" borderId="0" xfId="0" applyFont="1" applyAlignment="1">
      <alignment vertical="center" wrapText="1"/>
    </xf>
    <xf numFmtId="0" fontId="25" fillId="0" borderId="0" xfId="0" applyFont="1" applyAlignment="1">
      <alignment horizontal="right" vertical="center"/>
    </xf>
    <xf numFmtId="38" fontId="13" fillId="10" borderId="1" xfId="1" applyFont="1" applyFill="1" applyBorder="1" applyAlignment="1" applyProtection="1">
      <alignment vertical="center" shrinkToFit="1"/>
      <protection locked="0"/>
    </xf>
    <xf numFmtId="38" fontId="13" fillId="10" borderId="1" xfId="1" applyFont="1" applyFill="1" applyBorder="1" applyProtection="1">
      <alignment vertical="center"/>
      <protection locked="0"/>
    </xf>
    <xf numFmtId="9" fontId="0" fillId="10" borderId="38" xfId="0" applyNumberFormat="1" applyFill="1" applyBorder="1" applyProtection="1">
      <alignment vertical="center"/>
      <protection locked="0"/>
    </xf>
    <xf numFmtId="0" fontId="0" fillId="10" borderId="1" xfId="0" applyFill="1" applyBorder="1" applyProtection="1">
      <alignment vertical="center"/>
      <protection locked="0"/>
    </xf>
    <xf numFmtId="9" fontId="0" fillId="10" borderId="1" xfId="2" applyFont="1" applyFill="1" applyBorder="1" applyProtection="1">
      <alignment vertical="center"/>
      <protection locked="0"/>
    </xf>
    <xf numFmtId="177" fontId="6" fillId="10" borderId="1" xfId="0" applyNumberFormat="1" applyFont="1" applyFill="1" applyBorder="1" applyProtection="1">
      <alignment vertical="center"/>
      <protection locked="0"/>
    </xf>
    <xf numFmtId="180" fontId="0" fillId="10" borderId="1" xfId="0" applyNumberFormat="1" applyFill="1" applyBorder="1" applyProtection="1">
      <alignment vertical="center"/>
      <protection locked="0"/>
    </xf>
    <xf numFmtId="177" fontId="0" fillId="10" borderId="1" xfId="0" applyNumberFormat="1" applyFill="1" applyBorder="1" applyProtection="1">
      <alignment vertical="center"/>
      <protection locked="0"/>
    </xf>
    <xf numFmtId="9" fontId="0" fillId="10" borderId="1" xfId="0" applyNumberFormat="1" applyFill="1" applyBorder="1" applyProtection="1">
      <alignment vertical="center"/>
      <protection locked="0"/>
    </xf>
    <xf numFmtId="177" fontId="0" fillId="10" borderId="12" xfId="0" applyNumberFormat="1" applyFill="1" applyBorder="1" applyProtection="1">
      <alignment vertical="center"/>
      <protection locked="0"/>
    </xf>
    <xf numFmtId="0" fontId="0" fillId="10" borderId="9" xfId="0" applyFill="1" applyBorder="1" applyProtection="1">
      <alignment vertical="center"/>
      <protection locked="0"/>
    </xf>
    <xf numFmtId="0" fontId="6" fillId="10" borderId="1" xfId="0" applyFont="1" applyFill="1" applyBorder="1">
      <alignment vertical="center"/>
    </xf>
    <xf numFmtId="0" fontId="14" fillId="11" borderId="1" xfId="0" applyFont="1" applyFill="1" applyBorder="1" applyAlignment="1">
      <alignment vertical="center" shrinkToFit="1"/>
    </xf>
    <xf numFmtId="38" fontId="13" fillId="11" borderId="1" xfId="1" applyFont="1" applyFill="1" applyBorder="1">
      <alignment vertical="center"/>
    </xf>
    <xf numFmtId="177" fontId="6" fillId="10" borderId="12" xfId="0" applyNumberFormat="1" applyFont="1" applyFill="1" applyBorder="1" applyProtection="1">
      <alignment vertical="center"/>
      <protection locked="0"/>
    </xf>
    <xf numFmtId="0" fontId="6" fillId="0" borderId="12" xfId="0" applyFont="1" applyBorder="1" applyAlignment="1">
      <alignment horizontal="center" vertical="center"/>
    </xf>
    <xf numFmtId="0" fontId="19" fillId="0" borderId="32" xfId="0" applyFont="1" applyBorder="1" applyAlignment="1">
      <alignment vertical="center" wrapText="1"/>
    </xf>
    <xf numFmtId="0" fontId="28" fillId="0" borderId="8" xfId="0" applyFont="1" applyBorder="1" applyAlignment="1">
      <alignment vertical="center" wrapText="1"/>
    </xf>
    <xf numFmtId="0" fontId="6" fillId="0" borderId="2" xfId="0" applyFont="1" applyBorder="1">
      <alignment vertical="center"/>
    </xf>
    <xf numFmtId="0" fontId="28" fillId="0" borderId="1" xfId="0" applyFont="1" applyBorder="1" applyAlignment="1">
      <alignment vertical="center" wrapText="1"/>
    </xf>
    <xf numFmtId="0" fontId="6" fillId="0" borderId="0" xfId="0" applyFont="1" applyAlignment="1">
      <alignment horizontal="right" vertical="center"/>
    </xf>
    <xf numFmtId="0" fontId="0" fillId="10" borderId="1" xfId="0" applyFill="1" applyBorder="1" applyAlignment="1">
      <alignment vertical="center" shrinkToFit="1"/>
    </xf>
    <xf numFmtId="0" fontId="0" fillId="0" borderId="0" xfId="0" applyAlignment="1">
      <alignment horizontal="right" vertical="center" shrinkToFit="1"/>
    </xf>
    <xf numFmtId="178" fontId="6" fillId="0" borderId="39" xfId="0" applyNumberFormat="1" applyFont="1" applyBorder="1" applyAlignment="1">
      <alignment horizontal="right" vertical="center"/>
    </xf>
    <xf numFmtId="0" fontId="6" fillId="0" borderId="10" xfId="0" applyFont="1" applyBorder="1" applyAlignment="1">
      <alignment vertical="center" shrinkToFit="1"/>
    </xf>
    <xf numFmtId="0" fontId="0" fillId="0" borderId="32" xfId="0" applyBorder="1">
      <alignment vertical="center"/>
    </xf>
    <xf numFmtId="0" fontId="6" fillId="9" borderId="2" xfId="0" applyFont="1" applyFill="1" applyBorder="1">
      <alignment vertical="center"/>
    </xf>
    <xf numFmtId="0" fontId="0" fillId="9" borderId="2" xfId="0" applyFill="1" applyBorder="1">
      <alignment vertical="center"/>
    </xf>
    <xf numFmtId="0" fontId="0" fillId="0" borderId="0" xfId="0" applyAlignment="1">
      <alignment horizontal="left" vertical="center" wrapText="1"/>
    </xf>
    <xf numFmtId="0" fontId="0" fillId="3" borderId="0" xfId="0" applyFill="1" applyAlignment="1">
      <alignment horizontal="left" vertical="center"/>
    </xf>
    <xf numFmtId="0" fontId="10" fillId="0" borderId="0" xfId="0" applyFont="1" applyAlignment="1">
      <alignment horizontal="center" vertical="center"/>
    </xf>
    <xf numFmtId="0" fontId="11" fillId="0" borderId="25" xfId="0" applyFont="1" applyBorder="1" applyAlignment="1">
      <alignment horizontal="left" vertical="center" shrinkToFit="1"/>
    </xf>
    <xf numFmtId="0" fontId="12" fillId="0" borderId="25" xfId="0" applyFont="1" applyBorder="1" applyAlignment="1">
      <alignment horizontal="left" vertical="center" shrinkToFit="1"/>
    </xf>
    <xf numFmtId="0" fontId="12" fillId="3" borderId="25" xfId="0" applyFont="1" applyFill="1" applyBorder="1" applyAlignment="1">
      <alignment horizontal="left" vertical="center" shrinkToFit="1"/>
    </xf>
    <xf numFmtId="0" fontId="0" fillId="0" borderId="0" xfId="0" applyAlignment="1">
      <alignment horizontal="left" vertical="center" shrinkToFit="1"/>
    </xf>
    <xf numFmtId="0" fontId="0" fillId="3" borderId="0" xfId="0" applyFill="1" applyAlignment="1">
      <alignment horizontal="center" vertical="center"/>
    </xf>
    <xf numFmtId="0" fontId="19" fillId="0" borderId="26" xfId="0" applyFont="1" applyBorder="1" applyAlignment="1">
      <alignment horizontal="center" vertical="top" textRotation="255"/>
    </xf>
    <xf numFmtId="0" fontId="19" fillId="0" borderId="32" xfId="0" applyFont="1" applyBorder="1" applyAlignment="1">
      <alignment horizontal="center" vertical="top" textRotation="255"/>
    </xf>
    <xf numFmtId="0" fontId="0" fillId="0" borderId="10" xfId="0" applyBorder="1" applyAlignment="1">
      <alignment horizontal="center" vertical="center" textRotation="255" readingOrder="1"/>
    </xf>
    <xf numFmtId="0" fontId="0" fillId="0" borderId="26" xfId="0" applyBorder="1" applyAlignment="1">
      <alignment horizontal="center" vertical="center" textRotation="255" readingOrder="1"/>
    </xf>
    <xf numFmtId="0" fontId="0" fillId="0" borderId="32" xfId="0" applyBorder="1" applyAlignment="1">
      <alignment horizontal="center" vertical="center" textRotation="255" readingOrder="1"/>
    </xf>
    <xf numFmtId="0" fontId="10" fillId="0" borderId="0" xfId="0" applyFont="1" applyAlignment="1">
      <alignment horizontal="left" vertical="center"/>
    </xf>
    <xf numFmtId="0" fontId="29" fillId="0" borderId="0" xfId="0" applyFont="1" applyAlignment="1">
      <alignment vertical="center" wrapText="1" shrinkToFit="1"/>
    </xf>
    <xf numFmtId="0" fontId="14" fillId="3" borderId="25" xfId="0" applyFont="1" applyFill="1" applyBorder="1" applyAlignment="1">
      <alignment horizontal="right" vertical="center"/>
    </xf>
    <xf numFmtId="0" fontId="6" fillId="0" borderId="36" xfId="0" applyFont="1" applyBorder="1" applyAlignment="1">
      <alignment horizontal="center" vertical="center" textRotation="255" wrapText="1"/>
    </xf>
    <xf numFmtId="0" fontId="6" fillId="0" borderId="30" xfId="0" applyFont="1" applyBorder="1" applyAlignment="1">
      <alignment horizontal="center" vertical="center" textRotation="255" wrapText="1"/>
    </xf>
    <xf numFmtId="0" fontId="6" fillId="0" borderId="33" xfId="0" applyFont="1" applyBorder="1" applyAlignment="1">
      <alignment horizontal="center" vertical="center" textRotation="255" wrapText="1"/>
    </xf>
    <xf numFmtId="0" fontId="0" fillId="0" borderId="1" xfId="0" applyBorder="1" applyAlignment="1">
      <alignment horizontal="center" vertical="center" textRotation="255"/>
    </xf>
    <xf numFmtId="0" fontId="6" fillId="0" borderId="10" xfId="0" applyFont="1" applyBorder="1">
      <alignment vertical="center"/>
    </xf>
    <xf numFmtId="0" fontId="6" fillId="0" borderId="1" xfId="0" applyFont="1" applyBorder="1">
      <alignment vertical="center"/>
    </xf>
    <xf numFmtId="0" fontId="8" fillId="0" borderId="25" xfId="0" applyFont="1" applyBorder="1" applyAlignment="1">
      <alignment horizontal="left" vertical="center" shrinkToFit="1"/>
    </xf>
    <xf numFmtId="0" fontId="8" fillId="3" borderId="25" xfId="0" applyFont="1" applyFill="1" applyBorder="1" applyAlignment="1">
      <alignment horizontal="left" vertical="center" shrinkToFit="1"/>
    </xf>
    <xf numFmtId="0" fontId="0" fillId="3" borderId="9" xfId="0" applyFill="1" applyBorder="1" applyAlignment="1">
      <alignment horizontal="center" vertical="center"/>
    </xf>
    <xf numFmtId="0" fontId="0" fillId="3" borderId="12" xfId="0" applyFill="1" applyBorder="1" applyAlignment="1">
      <alignment horizontal="center" vertical="center"/>
    </xf>
    <xf numFmtId="0" fontId="6" fillId="0" borderId="7" xfId="0" applyFont="1" applyBorder="1" applyAlignment="1">
      <alignment horizontal="left" vertical="center" wrapText="1"/>
    </xf>
    <xf numFmtId="0" fontId="0" fillId="0" borderId="25" xfId="0" applyBorder="1" applyAlignment="1">
      <alignment horizontal="left" vertical="center"/>
    </xf>
    <xf numFmtId="0" fontId="0" fillId="0" borderId="8" xfId="0" applyBorder="1" applyAlignment="1">
      <alignment horizontal="left"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0" fillId="0" borderId="2" xfId="0" applyBorder="1" applyAlignment="1">
      <alignment horizontal="center" vertical="center"/>
    </xf>
    <xf numFmtId="0" fontId="0" fillId="0" borderId="4" xfId="0" applyBorder="1" applyAlignment="1">
      <alignment horizontal="center" vertical="center"/>
    </xf>
    <xf numFmtId="0" fontId="0" fillId="0" borderId="3" xfId="0" applyBorder="1" applyAlignment="1">
      <alignment horizontal="center" vertical="center"/>
    </xf>
    <xf numFmtId="0" fontId="0" fillId="0" borderId="5" xfId="0" applyBorder="1" applyAlignment="1">
      <alignment horizontal="center" vertical="center"/>
    </xf>
    <xf numFmtId="0" fontId="0" fillId="0" borderId="0" xfId="0"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25" xfId="0" applyBorder="1" applyAlignment="1">
      <alignment horizontal="center" vertical="center"/>
    </xf>
    <xf numFmtId="0" fontId="0" fillId="0" borderId="8" xfId="0" applyBorder="1" applyAlignment="1">
      <alignment horizontal="center" vertical="center"/>
    </xf>
    <xf numFmtId="0" fontId="2" fillId="0" borderId="1" xfId="0" applyFont="1" applyBorder="1" applyAlignment="1">
      <alignment horizontal="center" vertical="center" wrapText="1"/>
    </xf>
  </cellXfs>
  <cellStyles count="7">
    <cellStyle name="パーセント" xfId="2" builtinId="5"/>
    <cellStyle name="パーセント 2" xfId="3" xr:uid="{1BA13208-408F-4E21-9AF2-7C45DDC3B78A}"/>
    <cellStyle name="桁区切り" xfId="1" builtinId="6"/>
    <cellStyle name="桁区切り 2" xfId="4" xr:uid="{7BB20C9E-A6F0-42EE-999C-382BF9393186}"/>
    <cellStyle name="標準" xfId="0" builtinId="0"/>
    <cellStyle name="標準 2" xfId="5" xr:uid="{061DF404-EF99-4BA1-9E82-4AA6437D719E}"/>
    <cellStyle name="標準 3" xfId="6" xr:uid="{C50C7F10-5CB8-4F1B-94CF-AAB76F2A17EC}"/>
  </cellStyles>
  <dxfs count="2">
    <dxf>
      <fill>
        <patternFill>
          <bgColor rgb="FFFFFF00"/>
        </patternFill>
      </fill>
    </dxf>
    <dxf>
      <fill>
        <patternFill>
          <bgColor rgb="FFFFFF00"/>
        </patternFill>
      </fill>
    </dxf>
  </dxfs>
  <tableStyles count="0" defaultTableStyle="TableStyleMedium2" defaultPivotStyle="PivotStyleLight16"/>
  <colors>
    <mruColors>
      <color rgb="FFFFFF66"/>
      <color rgb="FFCCFF99"/>
      <color rgb="FFE8F53D"/>
      <color rgb="FFFFF2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6A1FCC42-1E6A-44FD-987A-48007E391BD6}" type="doc">
      <dgm:prSet loTypeId="urn:microsoft.com/office/officeart/2005/8/layout/cycle7" loCatId="cycle" qsTypeId="urn:microsoft.com/office/officeart/2005/8/quickstyle/simple1" qsCatId="simple" csTypeId="urn:microsoft.com/office/officeart/2005/8/colors/accent1_2" csCatId="accent1" phldr="1"/>
      <dgm:spPr/>
      <dgm:t>
        <a:bodyPr/>
        <a:lstStyle/>
        <a:p>
          <a:endParaRPr kumimoji="1" lang="ja-JP" altLang="en-US"/>
        </a:p>
      </dgm:t>
    </dgm:pt>
    <dgm:pt modelId="{E6A51CA9-9526-438A-95A4-B4EEA7BDD0FC}">
      <dgm:prSet phldrT="[テキスト]" custT="1"/>
      <dgm:spPr/>
      <dgm:t>
        <a:bodyPr/>
        <a:lstStyle/>
        <a:p>
          <a:r>
            <a:rPr kumimoji="1" lang="ja-JP" altLang="en-US" sz="4000" b="1">
              <a:solidFill>
                <a:schemeClr val="tx1"/>
              </a:solidFill>
              <a:latin typeface="ＭＳ ゴシック" panose="020B0609070205080204" pitchFamily="49" charset="-128"/>
              <a:ea typeface="ＭＳ ゴシック" panose="020B0609070205080204" pitchFamily="49" charset="-128"/>
            </a:rPr>
            <a:t>信用保証協会</a:t>
          </a:r>
        </a:p>
      </dgm:t>
    </dgm:pt>
    <dgm:pt modelId="{1F02A2AD-AFBF-47E5-937D-EDCEF4C6456A}" type="sibTrans" cxnId="{7A359F39-C41A-4B8A-A60A-30F8298E84D7}">
      <dgm:prSet/>
      <dgm:spPr/>
      <dgm:t>
        <a:bodyPr/>
        <a:lstStyle/>
        <a:p>
          <a:endParaRPr kumimoji="1" lang="ja-JP" altLang="en-US"/>
        </a:p>
      </dgm:t>
    </dgm:pt>
    <dgm:pt modelId="{7DDA7E9E-E85F-442E-AF67-E49433E673A2}" type="parTrans" cxnId="{7A359F39-C41A-4B8A-A60A-30F8298E84D7}">
      <dgm:prSet/>
      <dgm:spPr/>
      <dgm:t>
        <a:bodyPr/>
        <a:lstStyle/>
        <a:p>
          <a:endParaRPr kumimoji="1" lang="ja-JP" altLang="en-US"/>
        </a:p>
      </dgm:t>
    </dgm:pt>
    <dgm:pt modelId="{A9BFBC4A-09CD-4DD0-9B01-78E2B27072F6}">
      <dgm:prSet phldrT="[テキスト]" custT="1"/>
      <dgm:spPr/>
      <dgm:t>
        <a:bodyPr/>
        <a:lstStyle/>
        <a:p>
          <a:r>
            <a:rPr kumimoji="1" lang="ja-JP" altLang="en-US" sz="4000" b="1">
              <a:solidFill>
                <a:schemeClr val="tx1"/>
              </a:solidFill>
              <a:latin typeface="ＭＳ ゴシック" panose="020B0609070205080204" pitchFamily="49" charset="-128"/>
              <a:ea typeface="ＭＳ ゴシック" panose="020B0609070205080204" pitchFamily="49" charset="-128"/>
            </a:rPr>
            <a:t>中小企業診断士</a:t>
          </a:r>
        </a:p>
      </dgm:t>
    </dgm:pt>
    <dgm:pt modelId="{0A4C09AF-6380-495C-975A-E12B255B0465}" type="sibTrans" cxnId="{8D7BFD59-988D-45B1-9140-73AA75F860CD}">
      <dgm:prSet/>
      <dgm:spPr/>
      <dgm:t>
        <a:bodyPr/>
        <a:lstStyle/>
        <a:p>
          <a:endParaRPr kumimoji="1" lang="ja-JP" altLang="en-US"/>
        </a:p>
      </dgm:t>
    </dgm:pt>
    <dgm:pt modelId="{A6A52B93-ABA6-4D52-B7CD-5CF6ACC83128}" type="parTrans" cxnId="{8D7BFD59-988D-45B1-9140-73AA75F860CD}">
      <dgm:prSet/>
      <dgm:spPr/>
      <dgm:t>
        <a:bodyPr/>
        <a:lstStyle/>
        <a:p>
          <a:endParaRPr kumimoji="1" lang="ja-JP" altLang="en-US"/>
        </a:p>
      </dgm:t>
    </dgm:pt>
    <dgm:pt modelId="{EDC8F0F6-DA3B-4506-B75D-CFF6B37CB86F}">
      <dgm:prSet phldrT="[テキスト]" custT="1"/>
      <dgm:spPr/>
      <dgm:t>
        <a:bodyPr/>
        <a:lstStyle/>
        <a:p>
          <a:r>
            <a:rPr kumimoji="1" lang="ja-JP" altLang="en-US" sz="4000" b="1">
              <a:solidFill>
                <a:schemeClr val="tx1"/>
              </a:solidFill>
              <a:latin typeface="ＭＳ ゴシック" panose="020B0609070205080204" pitchFamily="49" charset="-128"/>
              <a:ea typeface="ＭＳ ゴシック" panose="020B0609070205080204" pitchFamily="49" charset="-128"/>
            </a:rPr>
            <a:t>中小企業者</a:t>
          </a:r>
        </a:p>
      </dgm:t>
    </dgm:pt>
    <dgm:pt modelId="{D469D994-0E09-4E6E-996E-BFB1D93CA1AA}" type="sibTrans" cxnId="{5DFF85D1-D644-4490-A953-914E1359F14B}">
      <dgm:prSet/>
      <dgm:spPr/>
      <dgm:t>
        <a:bodyPr/>
        <a:lstStyle/>
        <a:p>
          <a:endParaRPr kumimoji="1" lang="ja-JP" altLang="en-US"/>
        </a:p>
      </dgm:t>
    </dgm:pt>
    <dgm:pt modelId="{61956397-3513-4F4A-AAD6-B8F1861D43B8}" type="parTrans" cxnId="{5DFF85D1-D644-4490-A953-914E1359F14B}">
      <dgm:prSet/>
      <dgm:spPr/>
      <dgm:t>
        <a:bodyPr/>
        <a:lstStyle/>
        <a:p>
          <a:endParaRPr kumimoji="1" lang="ja-JP" altLang="en-US"/>
        </a:p>
      </dgm:t>
    </dgm:pt>
    <dgm:pt modelId="{85C134EB-B1B4-4A88-8A98-2F7464E762EE}" type="pres">
      <dgm:prSet presAssocID="{6A1FCC42-1E6A-44FD-987A-48007E391BD6}" presName="Name0" presStyleCnt="0">
        <dgm:presLayoutVars>
          <dgm:dir/>
          <dgm:resizeHandles val="exact"/>
        </dgm:presLayoutVars>
      </dgm:prSet>
      <dgm:spPr/>
    </dgm:pt>
    <dgm:pt modelId="{C2A0AE77-CC61-4676-979C-D08E3D788CE5}" type="pres">
      <dgm:prSet presAssocID="{EDC8F0F6-DA3B-4506-B75D-CFF6B37CB86F}" presName="node" presStyleLbl="node1" presStyleIdx="0" presStyleCnt="3" custRadScaleRad="94713" custRadScaleInc="2437">
        <dgm:presLayoutVars>
          <dgm:bulletEnabled val="1"/>
        </dgm:presLayoutVars>
      </dgm:prSet>
      <dgm:spPr/>
    </dgm:pt>
    <dgm:pt modelId="{36B9639B-687C-488C-8869-CEE50604DA4A}" type="pres">
      <dgm:prSet presAssocID="{D469D994-0E09-4E6E-996E-BFB1D93CA1AA}" presName="sibTrans" presStyleLbl="sibTrans2D1" presStyleIdx="0" presStyleCnt="3" custAng="10731397"/>
      <dgm:spPr>
        <a:prstGeom prst="rightArrow">
          <a:avLst/>
        </a:prstGeom>
      </dgm:spPr>
    </dgm:pt>
    <dgm:pt modelId="{2B727CEB-5D68-43FA-BDCE-25121A057A7F}" type="pres">
      <dgm:prSet presAssocID="{D469D994-0E09-4E6E-996E-BFB1D93CA1AA}" presName="connectorText" presStyleLbl="sibTrans2D1" presStyleIdx="0" presStyleCnt="3"/>
      <dgm:spPr/>
    </dgm:pt>
    <dgm:pt modelId="{3D1D920A-9F9D-40EA-B212-44FBC0398696}" type="pres">
      <dgm:prSet presAssocID="{A9BFBC4A-09CD-4DD0-9B01-78E2B27072F6}" presName="node" presStyleLbl="node1" presStyleIdx="1" presStyleCnt="3" custRadScaleRad="101036" custRadScaleInc="-20555">
        <dgm:presLayoutVars>
          <dgm:bulletEnabled val="1"/>
        </dgm:presLayoutVars>
      </dgm:prSet>
      <dgm:spPr/>
    </dgm:pt>
    <dgm:pt modelId="{10A86DCC-342A-443C-A8D3-E6E5FAC11259}" type="pres">
      <dgm:prSet presAssocID="{0A4C09AF-6380-495C-975A-E12B255B0465}" presName="sibTrans" presStyleLbl="sibTrans2D1" presStyleIdx="1" presStyleCnt="3"/>
      <dgm:spPr/>
    </dgm:pt>
    <dgm:pt modelId="{7D7C5EC7-E04A-4E1E-87B3-0B8A4B320F33}" type="pres">
      <dgm:prSet presAssocID="{0A4C09AF-6380-495C-975A-E12B255B0465}" presName="connectorText" presStyleLbl="sibTrans2D1" presStyleIdx="1" presStyleCnt="3"/>
      <dgm:spPr/>
    </dgm:pt>
    <dgm:pt modelId="{1BF81F32-F900-4E31-A8CA-3FBC04DB1C2B}" type="pres">
      <dgm:prSet presAssocID="{E6A51CA9-9526-438A-95A4-B4EEA7BDD0FC}" presName="node" presStyleLbl="node1" presStyleIdx="2" presStyleCnt="3" custRadScaleRad="103713" custRadScaleInc="23198">
        <dgm:presLayoutVars>
          <dgm:bulletEnabled val="1"/>
        </dgm:presLayoutVars>
      </dgm:prSet>
      <dgm:spPr/>
    </dgm:pt>
    <dgm:pt modelId="{EAC686BD-CF22-432D-A921-A09D86911C62}" type="pres">
      <dgm:prSet presAssocID="{1F02A2AD-AFBF-47E5-937D-EDCEF4C6456A}" presName="sibTrans" presStyleLbl="sibTrans2D1" presStyleIdx="2" presStyleCnt="3"/>
      <dgm:spPr>
        <a:prstGeom prst="rightArrow">
          <a:avLst/>
        </a:prstGeom>
      </dgm:spPr>
    </dgm:pt>
    <dgm:pt modelId="{4CEBDC98-2BCE-4515-957D-7EE76ECB9F9D}" type="pres">
      <dgm:prSet presAssocID="{1F02A2AD-AFBF-47E5-937D-EDCEF4C6456A}" presName="connectorText" presStyleLbl="sibTrans2D1" presStyleIdx="2" presStyleCnt="3"/>
      <dgm:spPr/>
    </dgm:pt>
  </dgm:ptLst>
  <dgm:cxnLst>
    <dgm:cxn modelId="{21545903-B4D8-42F6-9783-BD2F5C8CBF2A}" type="presOf" srcId="{D469D994-0E09-4E6E-996E-BFB1D93CA1AA}" destId="{36B9639B-687C-488C-8869-CEE50604DA4A}" srcOrd="0" destOrd="0" presId="urn:microsoft.com/office/officeart/2005/8/layout/cycle7"/>
    <dgm:cxn modelId="{748E7506-58A0-4F47-934C-7C057C9C0F85}" type="presOf" srcId="{0A4C09AF-6380-495C-975A-E12B255B0465}" destId="{7D7C5EC7-E04A-4E1E-87B3-0B8A4B320F33}" srcOrd="1" destOrd="0" presId="urn:microsoft.com/office/officeart/2005/8/layout/cycle7"/>
    <dgm:cxn modelId="{5408CD18-54B6-49AC-B89B-4E9FE3733DE0}" type="presOf" srcId="{1F02A2AD-AFBF-47E5-937D-EDCEF4C6456A}" destId="{EAC686BD-CF22-432D-A921-A09D86911C62}" srcOrd="0" destOrd="0" presId="urn:microsoft.com/office/officeart/2005/8/layout/cycle7"/>
    <dgm:cxn modelId="{9639112C-CEE7-4CF5-99BB-E7EFFE7FE443}" type="presOf" srcId="{0A4C09AF-6380-495C-975A-E12B255B0465}" destId="{10A86DCC-342A-443C-A8D3-E6E5FAC11259}" srcOrd="0" destOrd="0" presId="urn:microsoft.com/office/officeart/2005/8/layout/cycle7"/>
    <dgm:cxn modelId="{7A359F39-C41A-4B8A-A60A-30F8298E84D7}" srcId="{6A1FCC42-1E6A-44FD-987A-48007E391BD6}" destId="{E6A51CA9-9526-438A-95A4-B4EEA7BDD0FC}" srcOrd="2" destOrd="0" parTransId="{7DDA7E9E-E85F-442E-AF67-E49433E673A2}" sibTransId="{1F02A2AD-AFBF-47E5-937D-EDCEF4C6456A}"/>
    <dgm:cxn modelId="{72BF745D-B291-4647-BD3B-BE79F92C87F3}" type="presOf" srcId="{E6A51CA9-9526-438A-95A4-B4EEA7BDD0FC}" destId="{1BF81F32-F900-4E31-A8CA-3FBC04DB1C2B}" srcOrd="0" destOrd="0" presId="urn:microsoft.com/office/officeart/2005/8/layout/cycle7"/>
    <dgm:cxn modelId="{8D7BFD59-988D-45B1-9140-73AA75F860CD}" srcId="{6A1FCC42-1E6A-44FD-987A-48007E391BD6}" destId="{A9BFBC4A-09CD-4DD0-9B01-78E2B27072F6}" srcOrd="1" destOrd="0" parTransId="{A6A52B93-ABA6-4D52-B7CD-5CF6ACC83128}" sibTransId="{0A4C09AF-6380-495C-975A-E12B255B0465}"/>
    <dgm:cxn modelId="{0840C67E-208D-44DB-97B3-DC694260FA16}" type="presOf" srcId="{A9BFBC4A-09CD-4DD0-9B01-78E2B27072F6}" destId="{3D1D920A-9F9D-40EA-B212-44FBC0398696}" srcOrd="0" destOrd="0" presId="urn:microsoft.com/office/officeart/2005/8/layout/cycle7"/>
    <dgm:cxn modelId="{C2E8328F-CAA2-4955-B991-2021EF7619AF}" type="presOf" srcId="{6A1FCC42-1E6A-44FD-987A-48007E391BD6}" destId="{85C134EB-B1B4-4A88-8A98-2F7464E762EE}" srcOrd="0" destOrd="0" presId="urn:microsoft.com/office/officeart/2005/8/layout/cycle7"/>
    <dgm:cxn modelId="{7749B4A7-E293-44A7-B8BE-1FC7B32A73CB}" type="presOf" srcId="{1F02A2AD-AFBF-47E5-937D-EDCEF4C6456A}" destId="{4CEBDC98-2BCE-4515-957D-7EE76ECB9F9D}" srcOrd="1" destOrd="0" presId="urn:microsoft.com/office/officeart/2005/8/layout/cycle7"/>
    <dgm:cxn modelId="{8C9967BB-1AFF-44F6-9642-323762CD982E}" type="presOf" srcId="{D469D994-0E09-4E6E-996E-BFB1D93CA1AA}" destId="{2B727CEB-5D68-43FA-BDCE-25121A057A7F}" srcOrd="1" destOrd="0" presId="urn:microsoft.com/office/officeart/2005/8/layout/cycle7"/>
    <dgm:cxn modelId="{B4A8B4CB-9BAC-4CA6-966D-4D461ED230AE}" type="presOf" srcId="{EDC8F0F6-DA3B-4506-B75D-CFF6B37CB86F}" destId="{C2A0AE77-CC61-4676-979C-D08E3D788CE5}" srcOrd="0" destOrd="0" presId="urn:microsoft.com/office/officeart/2005/8/layout/cycle7"/>
    <dgm:cxn modelId="{5DFF85D1-D644-4490-A953-914E1359F14B}" srcId="{6A1FCC42-1E6A-44FD-987A-48007E391BD6}" destId="{EDC8F0F6-DA3B-4506-B75D-CFF6B37CB86F}" srcOrd="0" destOrd="0" parTransId="{61956397-3513-4F4A-AAD6-B8F1861D43B8}" sibTransId="{D469D994-0E09-4E6E-996E-BFB1D93CA1AA}"/>
    <dgm:cxn modelId="{E82BBF6F-D8FF-4FBA-9E41-49F509C5B6EC}" type="presParOf" srcId="{85C134EB-B1B4-4A88-8A98-2F7464E762EE}" destId="{C2A0AE77-CC61-4676-979C-D08E3D788CE5}" srcOrd="0" destOrd="0" presId="urn:microsoft.com/office/officeart/2005/8/layout/cycle7"/>
    <dgm:cxn modelId="{6C6E7C1F-E997-48E7-9D31-AFA7B679E8D7}" type="presParOf" srcId="{85C134EB-B1B4-4A88-8A98-2F7464E762EE}" destId="{36B9639B-687C-488C-8869-CEE50604DA4A}" srcOrd="1" destOrd="0" presId="urn:microsoft.com/office/officeart/2005/8/layout/cycle7"/>
    <dgm:cxn modelId="{A50A7C91-C169-4112-AA4B-27297730DA1B}" type="presParOf" srcId="{36B9639B-687C-488C-8869-CEE50604DA4A}" destId="{2B727CEB-5D68-43FA-BDCE-25121A057A7F}" srcOrd="0" destOrd="0" presId="urn:microsoft.com/office/officeart/2005/8/layout/cycle7"/>
    <dgm:cxn modelId="{017F56A1-7409-4F3B-A5FD-EB2C7E52BEF7}" type="presParOf" srcId="{85C134EB-B1B4-4A88-8A98-2F7464E762EE}" destId="{3D1D920A-9F9D-40EA-B212-44FBC0398696}" srcOrd="2" destOrd="0" presId="urn:microsoft.com/office/officeart/2005/8/layout/cycle7"/>
    <dgm:cxn modelId="{B57E3E8C-47BD-4DDE-9621-5367B376FE79}" type="presParOf" srcId="{85C134EB-B1B4-4A88-8A98-2F7464E762EE}" destId="{10A86DCC-342A-443C-A8D3-E6E5FAC11259}" srcOrd="3" destOrd="0" presId="urn:microsoft.com/office/officeart/2005/8/layout/cycle7"/>
    <dgm:cxn modelId="{30D2D2CE-D71A-48B3-8E92-5CE5B392FDE0}" type="presParOf" srcId="{10A86DCC-342A-443C-A8D3-E6E5FAC11259}" destId="{7D7C5EC7-E04A-4E1E-87B3-0B8A4B320F33}" srcOrd="0" destOrd="0" presId="urn:microsoft.com/office/officeart/2005/8/layout/cycle7"/>
    <dgm:cxn modelId="{A386EECA-7A1D-41BC-9E30-0BE3E7173B8A}" type="presParOf" srcId="{85C134EB-B1B4-4A88-8A98-2F7464E762EE}" destId="{1BF81F32-F900-4E31-A8CA-3FBC04DB1C2B}" srcOrd="4" destOrd="0" presId="urn:microsoft.com/office/officeart/2005/8/layout/cycle7"/>
    <dgm:cxn modelId="{83BB6F27-5C9C-4758-92F1-5EB42F8F2DCB}" type="presParOf" srcId="{85C134EB-B1B4-4A88-8A98-2F7464E762EE}" destId="{EAC686BD-CF22-432D-A921-A09D86911C62}" srcOrd="5" destOrd="0" presId="urn:microsoft.com/office/officeart/2005/8/layout/cycle7"/>
    <dgm:cxn modelId="{A0C34116-5291-4032-9A1D-B0E51B7A9524}" type="presParOf" srcId="{EAC686BD-CF22-432D-A921-A09D86911C62}" destId="{4CEBDC98-2BCE-4515-957D-7EE76ECB9F9D}" srcOrd="0" destOrd="0" presId="urn:microsoft.com/office/officeart/2005/8/layout/cycle7"/>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C2A0AE77-CC61-4676-979C-D08E3D788CE5}">
      <dsp:nvSpPr>
        <dsp:cNvPr id="0" name=""/>
        <dsp:cNvSpPr/>
      </dsp:nvSpPr>
      <dsp:spPr>
        <a:xfrm>
          <a:off x="6247181" y="229281"/>
          <a:ext cx="4456053" cy="2228026"/>
        </a:xfrm>
        <a:prstGeom prst="roundRect">
          <a:avLst>
            <a:gd name="adj" fmla="val 10000"/>
          </a:avLst>
        </a:prstGeom>
        <a:solidFill>
          <a:schemeClr val="accent1">
            <a:hueOff val="0"/>
            <a:satOff val="0"/>
            <a:lumOff val="0"/>
            <a:alphaOff val="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152400" tIns="152400" rIns="152400" bIns="152400" numCol="1" spcCol="1270" anchor="ctr" anchorCtr="0">
          <a:noAutofit/>
        </a:bodyPr>
        <a:lstStyle/>
        <a:p>
          <a:pPr marL="0" lvl="0" indent="0" algn="ctr" defTabSz="1778000">
            <a:lnSpc>
              <a:spcPct val="90000"/>
            </a:lnSpc>
            <a:spcBef>
              <a:spcPct val="0"/>
            </a:spcBef>
            <a:spcAft>
              <a:spcPct val="35000"/>
            </a:spcAft>
            <a:buNone/>
          </a:pPr>
          <a:r>
            <a:rPr kumimoji="1" lang="ja-JP" altLang="en-US" sz="4000" b="1" kern="1200">
              <a:solidFill>
                <a:schemeClr val="tx1"/>
              </a:solidFill>
              <a:latin typeface="ＭＳ ゴシック" panose="020B0609070205080204" pitchFamily="49" charset="-128"/>
              <a:ea typeface="ＭＳ ゴシック" panose="020B0609070205080204" pitchFamily="49" charset="-128"/>
            </a:rPr>
            <a:t>中小企業者</a:t>
          </a:r>
        </a:p>
      </dsp:txBody>
      <dsp:txXfrm>
        <a:off x="6312438" y="294538"/>
        <a:ext cx="4325539" cy="2097512"/>
      </dsp:txXfrm>
    </dsp:sp>
    <dsp:sp modelId="{36B9639B-687C-488C-8869-CEE50604DA4A}">
      <dsp:nvSpPr>
        <dsp:cNvPr id="0" name=""/>
        <dsp:cNvSpPr/>
      </dsp:nvSpPr>
      <dsp:spPr>
        <a:xfrm rot="13921922">
          <a:off x="8920985" y="3617433"/>
          <a:ext cx="3097930" cy="779809"/>
        </a:xfrm>
        <a:prstGeom prst="rightArrow">
          <a:avLst/>
        </a:prstGeom>
        <a:solidFill>
          <a:schemeClr val="accent1">
            <a:tint val="60000"/>
            <a:hueOff val="0"/>
            <a:satOff val="0"/>
            <a:lumOff val="0"/>
            <a:alphaOff val="0"/>
          </a:schemeClr>
        </a:solidFill>
        <a:ln>
          <a:noFill/>
        </a:ln>
        <a:effectLst/>
      </dsp:spPr>
      <dsp:style>
        <a:lnRef idx="0">
          <a:scrgbClr r="0" g="0" b="0"/>
        </a:lnRef>
        <a:fillRef idx="1">
          <a:scrgbClr r="0" g="0" b="0"/>
        </a:fillRef>
        <a:effectRef idx="0">
          <a:scrgbClr r="0" g="0" b="0"/>
        </a:effectRef>
        <a:fontRef idx="minor">
          <a:schemeClr val="lt1"/>
        </a:fontRef>
      </dsp:style>
      <dsp:txBody>
        <a:bodyPr spcFirstLastPara="0" vert="horz" wrap="square" lIns="0" tIns="0" rIns="0" bIns="0" numCol="1" spcCol="1270" anchor="ctr" anchorCtr="0">
          <a:noAutofit/>
        </a:bodyPr>
        <a:lstStyle/>
        <a:p>
          <a:pPr marL="0" lvl="0" indent="0" algn="ctr" defTabSz="1466850">
            <a:lnSpc>
              <a:spcPct val="90000"/>
            </a:lnSpc>
            <a:spcBef>
              <a:spcPct val="0"/>
            </a:spcBef>
            <a:spcAft>
              <a:spcPct val="35000"/>
            </a:spcAft>
            <a:buNone/>
          </a:pPr>
          <a:endParaRPr kumimoji="1" lang="ja-JP" altLang="en-US" sz="3300" kern="1200"/>
        </a:p>
      </dsp:txBody>
      <dsp:txXfrm>
        <a:off x="9154928" y="3773395"/>
        <a:ext cx="2630044" cy="467885"/>
      </dsp:txXfrm>
    </dsp:sp>
    <dsp:sp modelId="{3D1D920A-9F9D-40EA-B212-44FBC0398696}">
      <dsp:nvSpPr>
        <dsp:cNvPr id="0" name=""/>
        <dsp:cNvSpPr/>
      </dsp:nvSpPr>
      <dsp:spPr>
        <a:xfrm>
          <a:off x="10236666" y="5557367"/>
          <a:ext cx="4456053" cy="2228026"/>
        </a:xfrm>
        <a:prstGeom prst="roundRect">
          <a:avLst>
            <a:gd name="adj" fmla="val 10000"/>
          </a:avLst>
        </a:prstGeom>
        <a:solidFill>
          <a:schemeClr val="accent1">
            <a:hueOff val="0"/>
            <a:satOff val="0"/>
            <a:lumOff val="0"/>
            <a:alphaOff val="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152400" tIns="152400" rIns="152400" bIns="152400" numCol="1" spcCol="1270" anchor="ctr" anchorCtr="0">
          <a:noAutofit/>
        </a:bodyPr>
        <a:lstStyle/>
        <a:p>
          <a:pPr marL="0" lvl="0" indent="0" algn="ctr" defTabSz="1778000">
            <a:lnSpc>
              <a:spcPct val="90000"/>
            </a:lnSpc>
            <a:spcBef>
              <a:spcPct val="0"/>
            </a:spcBef>
            <a:spcAft>
              <a:spcPct val="35000"/>
            </a:spcAft>
            <a:buNone/>
          </a:pPr>
          <a:r>
            <a:rPr kumimoji="1" lang="ja-JP" altLang="en-US" sz="4000" b="1" kern="1200">
              <a:solidFill>
                <a:schemeClr val="tx1"/>
              </a:solidFill>
              <a:latin typeface="ＭＳ ゴシック" panose="020B0609070205080204" pitchFamily="49" charset="-128"/>
              <a:ea typeface="ＭＳ ゴシック" panose="020B0609070205080204" pitchFamily="49" charset="-128"/>
            </a:rPr>
            <a:t>中小企業診断士</a:t>
          </a:r>
        </a:p>
      </dsp:txBody>
      <dsp:txXfrm>
        <a:off x="10301923" y="5622624"/>
        <a:ext cx="4325539" cy="2097512"/>
      </dsp:txXfrm>
    </dsp:sp>
    <dsp:sp modelId="{10A86DCC-342A-443C-A8D3-E6E5FAC11259}">
      <dsp:nvSpPr>
        <dsp:cNvPr id="0" name=""/>
        <dsp:cNvSpPr/>
      </dsp:nvSpPr>
      <dsp:spPr>
        <a:xfrm rot="10833940">
          <a:off x="6751588" y="6240363"/>
          <a:ext cx="3097930" cy="779809"/>
        </a:xfrm>
        <a:prstGeom prst="leftRightArrow">
          <a:avLst>
            <a:gd name="adj1" fmla="val 60000"/>
            <a:gd name="adj2" fmla="val 50000"/>
          </a:avLst>
        </a:prstGeom>
        <a:solidFill>
          <a:schemeClr val="accent1">
            <a:tint val="60000"/>
            <a:hueOff val="0"/>
            <a:satOff val="0"/>
            <a:lumOff val="0"/>
            <a:alphaOff val="0"/>
          </a:schemeClr>
        </a:solidFill>
        <a:ln>
          <a:noFill/>
        </a:ln>
        <a:effectLst/>
      </dsp:spPr>
      <dsp:style>
        <a:lnRef idx="0">
          <a:scrgbClr r="0" g="0" b="0"/>
        </a:lnRef>
        <a:fillRef idx="1">
          <a:scrgbClr r="0" g="0" b="0"/>
        </a:fillRef>
        <a:effectRef idx="0">
          <a:scrgbClr r="0" g="0" b="0"/>
        </a:effectRef>
        <a:fontRef idx="minor">
          <a:schemeClr val="lt1"/>
        </a:fontRef>
      </dsp:style>
      <dsp:txBody>
        <a:bodyPr spcFirstLastPara="0" vert="horz" wrap="square" lIns="0" tIns="0" rIns="0" bIns="0" numCol="1" spcCol="1270" anchor="ctr" anchorCtr="0">
          <a:noAutofit/>
        </a:bodyPr>
        <a:lstStyle/>
        <a:p>
          <a:pPr marL="0" lvl="0" indent="0" algn="ctr" defTabSz="1466850">
            <a:lnSpc>
              <a:spcPct val="90000"/>
            </a:lnSpc>
            <a:spcBef>
              <a:spcPct val="0"/>
            </a:spcBef>
            <a:spcAft>
              <a:spcPct val="35000"/>
            </a:spcAft>
            <a:buNone/>
          </a:pPr>
          <a:endParaRPr kumimoji="1" lang="ja-JP" altLang="en-US" sz="3300" kern="1200"/>
        </a:p>
      </dsp:txBody>
      <dsp:txXfrm rot="10800000">
        <a:off x="6985531" y="6396325"/>
        <a:ext cx="2630044" cy="467885"/>
      </dsp:txXfrm>
    </dsp:sp>
    <dsp:sp modelId="{1BF81F32-F900-4E31-A8CA-3FBC04DB1C2B}">
      <dsp:nvSpPr>
        <dsp:cNvPr id="0" name=""/>
        <dsp:cNvSpPr/>
      </dsp:nvSpPr>
      <dsp:spPr>
        <a:xfrm>
          <a:off x="1908387" y="5475141"/>
          <a:ext cx="4456053" cy="2228026"/>
        </a:xfrm>
        <a:prstGeom prst="roundRect">
          <a:avLst>
            <a:gd name="adj" fmla="val 10000"/>
          </a:avLst>
        </a:prstGeom>
        <a:solidFill>
          <a:schemeClr val="accent1">
            <a:hueOff val="0"/>
            <a:satOff val="0"/>
            <a:lumOff val="0"/>
            <a:alphaOff val="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152400" tIns="152400" rIns="152400" bIns="152400" numCol="1" spcCol="1270" anchor="ctr" anchorCtr="0">
          <a:noAutofit/>
        </a:bodyPr>
        <a:lstStyle/>
        <a:p>
          <a:pPr marL="0" lvl="0" indent="0" algn="ctr" defTabSz="1778000">
            <a:lnSpc>
              <a:spcPct val="90000"/>
            </a:lnSpc>
            <a:spcBef>
              <a:spcPct val="0"/>
            </a:spcBef>
            <a:spcAft>
              <a:spcPct val="35000"/>
            </a:spcAft>
            <a:buNone/>
          </a:pPr>
          <a:r>
            <a:rPr kumimoji="1" lang="ja-JP" altLang="en-US" sz="4000" b="1" kern="1200">
              <a:solidFill>
                <a:schemeClr val="tx1"/>
              </a:solidFill>
              <a:latin typeface="ＭＳ ゴシック" panose="020B0609070205080204" pitchFamily="49" charset="-128"/>
              <a:ea typeface="ＭＳ ゴシック" panose="020B0609070205080204" pitchFamily="49" charset="-128"/>
            </a:rPr>
            <a:t>信用保証協会</a:t>
          </a:r>
        </a:p>
      </dsp:txBody>
      <dsp:txXfrm>
        <a:off x="1973644" y="5540398"/>
        <a:ext cx="4325539" cy="2097512"/>
      </dsp:txXfrm>
    </dsp:sp>
    <dsp:sp modelId="{EAC686BD-CF22-432D-A921-A09D86911C62}">
      <dsp:nvSpPr>
        <dsp:cNvPr id="0" name=""/>
        <dsp:cNvSpPr/>
      </dsp:nvSpPr>
      <dsp:spPr>
        <a:xfrm rot="18575627">
          <a:off x="4756846" y="3576319"/>
          <a:ext cx="3097930" cy="779809"/>
        </a:xfrm>
        <a:prstGeom prst="rightArrow">
          <a:avLst/>
        </a:prstGeom>
        <a:solidFill>
          <a:schemeClr val="accent1">
            <a:tint val="60000"/>
            <a:hueOff val="0"/>
            <a:satOff val="0"/>
            <a:lumOff val="0"/>
            <a:alphaOff val="0"/>
          </a:schemeClr>
        </a:solidFill>
        <a:ln>
          <a:noFill/>
        </a:ln>
        <a:effectLst/>
      </dsp:spPr>
      <dsp:style>
        <a:lnRef idx="0">
          <a:scrgbClr r="0" g="0" b="0"/>
        </a:lnRef>
        <a:fillRef idx="1">
          <a:scrgbClr r="0" g="0" b="0"/>
        </a:fillRef>
        <a:effectRef idx="0">
          <a:scrgbClr r="0" g="0" b="0"/>
        </a:effectRef>
        <a:fontRef idx="minor">
          <a:schemeClr val="lt1"/>
        </a:fontRef>
      </dsp:style>
      <dsp:txBody>
        <a:bodyPr spcFirstLastPara="0" vert="horz" wrap="square" lIns="0" tIns="0" rIns="0" bIns="0" numCol="1" spcCol="1270" anchor="ctr" anchorCtr="0">
          <a:noAutofit/>
        </a:bodyPr>
        <a:lstStyle/>
        <a:p>
          <a:pPr marL="0" lvl="0" indent="0" algn="ctr" defTabSz="1466850">
            <a:lnSpc>
              <a:spcPct val="90000"/>
            </a:lnSpc>
            <a:spcBef>
              <a:spcPct val="0"/>
            </a:spcBef>
            <a:spcAft>
              <a:spcPct val="35000"/>
            </a:spcAft>
            <a:buNone/>
          </a:pPr>
          <a:endParaRPr kumimoji="1" lang="ja-JP" altLang="en-US" sz="3300" kern="1200"/>
        </a:p>
      </dsp:txBody>
      <dsp:txXfrm>
        <a:off x="4990789" y="3732281"/>
        <a:ext cx="2630044" cy="467885"/>
      </dsp:txXfrm>
    </dsp:sp>
  </dsp:spTree>
</dsp:drawing>
</file>

<file path=xl/diagrams/layout1.xml><?xml version="1.0" encoding="utf-8"?>
<dgm:layoutDef xmlns:dgm="http://schemas.openxmlformats.org/drawingml/2006/diagram" xmlns:a="http://schemas.openxmlformats.org/drawingml/2006/main" uniqueId="urn:microsoft.com/office/officeart/2005/8/layout/cycle7">
  <dgm:title val=""/>
  <dgm:desc val=""/>
  <dgm:catLst>
    <dgm:cat type="cycle" pri="6000"/>
  </dgm:catLst>
  <dgm:sampData>
    <dgm:dataModel>
      <dgm:ptLst>
        <dgm:pt modelId="0" type="doc"/>
        <dgm:pt modelId="1">
          <dgm:prSet phldr="1"/>
        </dgm:pt>
        <dgm:pt modelId="2">
          <dgm:prSet phldr="1"/>
        </dgm:pt>
        <dgm:pt modelId="3">
          <dgm:prSet phldr="1"/>
        </dgm:pt>
      </dgm:ptLst>
      <dgm:cxnLst>
        <dgm:cxn modelId="6" srcId="0" destId="1" srcOrd="0" destOrd="0"/>
        <dgm:cxn modelId="7" srcId="0" destId="2" srcOrd="1" destOrd="0"/>
        <dgm:cxn modelId="8" srcId="0" destId="3" srcOrd="2" destOrd="0"/>
      </dgm:cxnLst>
      <dgm:bg/>
      <dgm:whole/>
    </dgm:dataModel>
  </dgm:sampData>
  <dgm:styleData>
    <dgm:dataModel>
      <dgm:ptLst>
        <dgm:pt modelId="0" type="doc"/>
        <dgm:pt modelId="1"/>
        <dgm:pt modelId="2"/>
        <dgm:pt modelId="3"/>
      </dgm:ptLst>
      <dgm:cxnLst>
        <dgm:cxn modelId="4" srcId="0" destId="1" srcOrd="0" destOrd="0"/>
        <dgm:cxn modelId="5" srcId="0" destId="2" srcOrd="1" destOrd="0"/>
        <dgm:cxn modelId="6" srcId="0" destId="3" srcOrd="2" destOrd="0"/>
      </dgm:cxnLst>
      <dgm:bg/>
      <dgm:whole/>
    </dgm:dataModel>
  </dgm:styleData>
  <dgm:clrData>
    <dgm:dataModel>
      <dgm:ptLst>
        <dgm:pt modelId="0" type="doc"/>
        <dgm:pt modelId="1"/>
        <dgm:pt modelId="2"/>
        <dgm:pt modelId="3"/>
        <dgm:pt modelId="4"/>
        <dgm:pt modelId="5"/>
        <dgm:pt modelId="6"/>
      </dgm:ptLst>
      <dgm:cxnLst>
        <dgm:cxn modelId="7" srcId="0" destId="1" srcOrd="0" destOrd="0"/>
        <dgm:cxn modelId="8" srcId="0" destId="2" srcOrd="1" destOrd="0"/>
        <dgm:cxn modelId="9" srcId="0" destId="3" srcOrd="2" destOrd="0"/>
        <dgm:cxn modelId="10" srcId="0" destId="4" srcOrd="3" destOrd="0"/>
        <dgm:cxn modelId="11" srcId="0" destId="5" srcOrd="4" destOrd="0"/>
        <dgm:cxn modelId="12" srcId="0" destId="6" srcOrd="5" destOrd="0"/>
      </dgm:cxnLst>
      <dgm:bg/>
      <dgm:whole/>
    </dgm:dataModel>
  </dgm:clrData>
  <dgm:layoutNode name="Name0">
    <dgm:varLst>
      <dgm:dir/>
      <dgm:resizeHandles val="exact"/>
    </dgm:varLst>
    <dgm:choose name="Name1">
      <dgm:if name="Name2" func="var" arg="dir" op="equ" val="norm">
        <dgm:alg type="cycle">
          <dgm:param type="stAng" val="0"/>
          <dgm:param type="spanAng" val="360"/>
        </dgm:alg>
      </dgm:if>
      <dgm:else name="Name3">
        <dgm:alg type="cycle">
          <dgm:param type="stAng" val="0"/>
          <dgm:param type="spanAng" val="-360"/>
        </dgm:alg>
      </dgm:else>
    </dgm:choose>
    <dgm:shape xmlns:r="http://schemas.openxmlformats.org/officeDocument/2006/relationships" r:blip="">
      <dgm:adjLst/>
    </dgm:shape>
    <dgm:presOf/>
    <dgm:constrLst>
      <dgm:constr type="diam" refType="w"/>
      <dgm:constr type="w" for="ch" ptType="node" refType="w"/>
      <dgm:constr type="primFontSz" for="ch" ptType="node" op="equ" val="65"/>
      <dgm:constr type="w" for="ch" forName="sibTrans" refType="w" refFor="ch" refPtType="node" op="equ" fact="0.35"/>
      <dgm:constr type="connDist" for="ch" forName="sibTrans" op="equ"/>
      <dgm:constr type="primFontSz" for="des" forName="connectorText" op="equ" val="55"/>
      <dgm:constr type="primFontSz" for="des" forName="connectorText" refType="primFontSz" refFor="ch" refPtType="node" op="lte" fact="0.8"/>
      <dgm:constr type="sibSp" refType="w" refFor="ch" refPtType="node" op="equ" fact="0.65"/>
    </dgm:constrLst>
    <dgm:ruleLst/>
    <dgm:forEach name="nodesForEach" axis="ch" ptType="node">
      <dgm:layoutNode name="node">
        <dgm:varLst>
          <dgm:bulletEnabled val="1"/>
        </dgm:varLst>
        <dgm:alg type="tx"/>
        <dgm:shape xmlns:r="http://schemas.openxmlformats.org/officeDocument/2006/relationships" type="roundRect" r:blip="">
          <dgm:adjLst>
            <dgm:adj idx="1" val="0.1"/>
          </dgm:adjLst>
        </dgm:shape>
        <dgm:presOf axis="desOrSelf" ptType="node"/>
        <dgm:constrLst>
          <dgm:constr type="h" refType="w" fact="0.5"/>
          <dgm:constr type="tMarg" refType="primFontSz" fact="0.3"/>
          <dgm:constr type="bMarg" refType="primFontSz" fact="0.3"/>
          <dgm:constr type="lMarg" refType="primFontSz" fact="0.3"/>
          <dgm:constr type="rMarg" refType="primFontSz" fact="0.3"/>
        </dgm:constrLst>
        <dgm:ruleLst>
          <dgm:rule type="primFontSz" val="5" fact="NaN" max="NaN"/>
        </dgm:ruleLst>
      </dgm:layoutNode>
      <dgm:choose name="Name4">
        <dgm:if name="Name5" axis="par ch" ptType="doc node" func="cnt" op="gt" val="1">
          <dgm:forEach name="sibTransForEach" axis="followSib" ptType="sibTrans" hideLastTrans="0" cnt="1">
            <dgm:layoutNode name="sibTrans">
              <dgm:choose name="Name6">
                <dgm:if name="Name7" axis="par ch" ptType="doc node" func="posEven" op="equ" val="1">
                  <dgm:alg type="conn">
                    <dgm:param type="begPts" val="radial"/>
                    <dgm:param type="endPts" val="radial"/>
                    <dgm:param type="begSty" val="arr"/>
                    <dgm:param type="endSty" val="arr"/>
                  </dgm:alg>
                </dgm:if>
                <dgm:else name="Name8">
                  <dgm:alg type="conn">
                    <dgm:param type="begPts" val="auto"/>
                    <dgm:param type="endPts" val="auto"/>
                    <dgm:param type="begSty" val="arr"/>
                    <dgm:param type="endSty" val="arr"/>
                  </dgm:alg>
                </dgm:else>
              </dgm:choose>
              <dgm:shape xmlns:r="http://schemas.openxmlformats.org/officeDocument/2006/relationships" type="conn" r:blip="">
                <dgm:adjLst/>
              </dgm:shape>
              <dgm:presOf axis="self"/>
              <dgm:constrLst>
                <dgm:constr type="h" refType="w" fact="0.5"/>
                <dgm:constr type="connDist"/>
                <dgm:constr type="begPad" refType="connDist" fact="0.1"/>
                <dgm:constr type="endPad" refType="connDist" fact="0.1"/>
              </dgm:constrLst>
              <dgm:ruleLst/>
              <dgm:layoutNode name="connectorText">
                <dgm:alg type="tx">
                  <dgm:param type="autoTxRot" val="grav"/>
                </dgm:alg>
                <dgm:shape xmlns:r="http://schemas.openxmlformats.org/officeDocument/2006/relationships" type="conn" r:blip="" hideGeom="1">
                  <dgm:adjLst/>
                </dgm:shape>
                <dgm:presOf axis="self"/>
                <dgm:constrLst>
                  <dgm:constr type="lMarg"/>
                  <dgm:constr type="rMarg"/>
                  <dgm:constr type="tMarg"/>
                  <dgm:constr type="bMarg"/>
                </dgm:constrLst>
                <dgm:ruleLst>
                  <dgm:rule type="primFontSz" val="5" fact="NaN" max="NaN"/>
                </dgm:ruleLst>
              </dgm:layoutNode>
            </dgm:layoutNode>
          </dgm:forEach>
        </dgm:if>
        <dgm:else name="Name9"/>
      </dgm:choose>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7.xml.rels><?xml version="1.0" encoding="UTF-8" standalone="yes"?>
<Relationships xmlns="http://schemas.openxmlformats.org/package/2006/relationships"><Relationship Id="rId3" Type="http://schemas.openxmlformats.org/officeDocument/2006/relationships/diagramQuickStyle" Target="../diagrams/quickStyle1.xml"/><Relationship Id="rId2" Type="http://schemas.openxmlformats.org/officeDocument/2006/relationships/diagramLayout" Target="../diagrams/layout1.xml"/><Relationship Id="rId1" Type="http://schemas.openxmlformats.org/officeDocument/2006/relationships/diagramData" Target="../diagrams/data1.xml"/><Relationship Id="rId5" Type="http://schemas.microsoft.com/office/2007/relationships/diagramDrawing" Target="../diagrams/drawing1.xml"/><Relationship Id="rId4" Type="http://schemas.openxmlformats.org/officeDocument/2006/relationships/diagramColors" Target="../diagrams/colors1.xml"/></Relationships>
</file>

<file path=xl/drawings/drawing1.xml><?xml version="1.0" encoding="utf-8"?>
<xdr:wsDr xmlns:xdr="http://schemas.openxmlformats.org/drawingml/2006/spreadsheetDrawing" xmlns:a="http://schemas.openxmlformats.org/drawingml/2006/main">
  <xdr:twoCellAnchor>
    <xdr:from>
      <xdr:col>6</xdr:col>
      <xdr:colOff>361950</xdr:colOff>
      <xdr:row>28</xdr:row>
      <xdr:rowOff>190501</xdr:rowOff>
    </xdr:from>
    <xdr:to>
      <xdr:col>10</xdr:col>
      <xdr:colOff>19050</xdr:colOff>
      <xdr:row>30</xdr:row>
      <xdr:rowOff>78441</xdr:rowOff>
    </xdr:to>
    <xdr:sp macro="" textlink="">
      <xdr:nvSpPr>
        <xdr:cNvPr id="2" name="角丸四角形吹き出し 6">
          <a:extLst>
            <a:ext uri="{FF2B5EF4-FFF2-40B4-BE49-F238E27FC236}">
              <a16:creationId xmlns:a16="http://schemas.microsoft.com/office/drawing/2014/main" id="{00000000-0008-0000-0600-000002000000}"/>
            </a:ext>
          </a:extLst>
        </xdr:cNvPr>
        <xdr:cNvSpPr/>
      </xdr:nvSpPr>
      <xdr:spPr>
        <a:xfrm>
          <a:off x="5534025" y="8201026"/>
          <a:ext cx="3086100" cy="364190"/>
        </a:xfrm>
        <a:prstGeom prst="wedgeRoundRectCallout">
          <a:avLst>
            <a:gd name="adj1" fmla="val 31582"/>
            <a:gd name="adj2" fmla="val -110398"/>
            <a:gd name="adj3" fmla="val 16667"/>
          </a:avLst>
        </a:prstGeom>
        <a:solidFill>
          <a:srgbClr val="FFFF0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ysClr val="windowText" lastClr="000000"/>
              </a:solidFill>
            </a:rPr>
            <a:t>月末現金残高の推移に着目してください。</a:t>
          </a:r>
          <a:br>
            <a:rPr kumimoji="1" lang="en-US" altLang="ja-JP" sz="1000">
              <a:solidFill>
                <a:sysClr val="windowText" lastClr="000000"/>
              </a:solidFill>
            </a:rPr>
          </a:br>
          <a:endParaRPr kumimoji="1" lang="ja-JP" altLang="en-US" sz="1000">
            <a:solidFill>
              <a:sysClr val="windowText" lastClr="000000"/>
            </a:solidFill>
          </a:endParaRPr>
        </a:p>
      </xdr:txBody>
    </xdr:sp>
    <xdr:clientData/>
  </xdr:twoCellAnchor>
  <xdr:twoCellAnchor>
    <xdr:from>
      <xdr:col>14</xdr:col>
      <xdr:colOff>457200</xdr:colOff>
      <xdr:row>1</xdr:row>
      <xdr:rowOff>104773</xdr:rowOff>
    </xdr:from>
    <xdr:to>
      <xdr:col>18</xdr:col>
      <xdr:colOff>19050</xdr:colOff>
      <xdr:row>3</xdr:row>
      <xdr:rowOff>228600</xdr:rowOff>
    </xdr:to>
    <xdr:sp macro="" textlink="">
      <xdr:nvSpPr>
        <xdr:cNvPr id="3" name="角丸四角形吹き出し 4">
          <a:extLst>
            <a:ext uri="{FF2B5EF4-FFF2-40B4-BE49-F238E27FC236}">
              <a16:creationId xmlns:a16="http://schemas.microsoft.com/office/drawing/2014/main" id="{00000000-0008-0000-0600-000003000000}"/>
            </a:ext>
          </a:extLst>
        </xdr:cNvPr>
        <xdr:cNvSpPr/>
      </xdr:nvSpPr>
      <xdr:spPr>
        <a:xfrm>
          <a:off x="11630025" y="495298"/>
          <a:ext cx="2419350" cy="600077"/>
        </a:xfrm>
        <a:prstGeom prst="wedgeRoundRectCallout">
          <a:avLst>
            <a:gd name="adj1" fmla="val 30585"/>
            <a:gd name="adj2" fmla="val -83413"/>
            <a:gd name="adj3" fmla="val 16667"/>
          </a:avLst>
        </a:prstGeom>
        <a:solidFill>
          <a:srgbClr val="FFFF0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ysClr val="windowText" lastClr="000000"/>
              </a:solidFill>
            </a:rPr>
            <a:t>計画通りに進まなかったケースを想定し、低めに入力してください。</a:t>
          </a:r>
        </a:p>
      </xdr:txBody>
    </xdr:sp>
    <xdr:clientData/>
  </xdr:twoCellAnchor>
  <xdr:twoCellAnchor>
    <xdr:from>
      <xdr:col>13</xdr:col>
      <xdr:colOff>447674</xdr:colOff>
      <xdr:row>28</xdr:row>
      <xdr:rowOff>228600</xdr:rowOff>
    </xdr:from>
    <xdr:to>
      <xdr:col>18</xdr:col>
      <xdr:colOff>19049</xdr:colOff>
      <xdr:row>31</xdr:row>
      <xdr:rowOff>152400</xdr:rowOff>
    </xdr:to>
    <xdr:sp macro="" textlink="">
      <xdr:nvSpPr>
        <xdr:cNvPr id="4" name="角丸四角形吹き出し 5">
          <a:extLst>
            <a:ext uri="{FF2B5EF4-FFF2-40B4-BE49-F238E27FC236}">
              <a16:creationId xmlns:a16="http://schemas.microsoft.com/office/drawing/2014/main" id="{00000000-0008-0000-0600-000004000000}"/>
            </a:ext>
          </a:extLst>
        </xdr:cNvPr>
        <xdr:cNvSpPr/>
      </xdr:nvSpPr>
      <xdr:spPr>
        <a:xfrm>
          <a:off x="11772899" y="8239125"/>
          <a:ext cx="3857625" cy="638175"/>
        </a:xfrm>
        <a:prstGeom prst="wedgeRoundRectCallout">
          <a:avLst>
            <a:gd name="adj1" fmla="val 33519"/>
            <a:gd name="adj2" fmla="val -87367"/>
            <a:gd name="adj3" fmla="val 16667"/>
          </a:avLst>
        </a:prstGeom>
        <a:solidFill>
          <a:srgbClr val="FFFF0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ysClr val="windowText" lastClr="000000"/>
              </a:solidFill>
            </a:rPr>
            <a:t>計画値が未達成となった場合の、月末現金残高の推移に着目してください。</a:t>
          </a:r>
        </a:p>
      </xdr:txBody>
    </xdr:sp>
    <xdr:clientData/>
  </xdr:twoCellAnchor>
  <xdr:twoCellAnchor>
    <xdr:from>
      <xdr:col>1</xdr:col>
      <xdr:colOff>266700</xdr:colOff>
      <xdr:row>0</xdr:row>
      <xdr:rowOff>123825</xdr:rowOff>
    </xdr:from>
    <xdr:to>
      <xdr:col>2</xdr:col>
      <xdr:colOff>752475</xdr:colOff>
      <xdr:row>2</xdr:row>
      <xdr:rowOff>123824</xdr:rowOff>
    </xdr:to>
    <xdr:sp macro="" textlink="">
      <xdr:nvSpPr>
        <xdr:cNvPr id="5" name="角丸四角形吹き出し 4">
          <a:extLst>
            <a:ext uri="{FF2B5EF4-FFF2-40B4-BE49-F238E27FC236}">
              <a16:creationId xmlns:a16="http://schemas.microsoft.com/office/drawing/2014/main" id="{00000000-0008-0000-0600-000005000000}"/>
            </a:ext>
          </a:extLst>
        </xdr:cNvPr>
        <xdr:cNvSpPr/>
      </xdr:nvSpPr>
      <xdr:spPr>
        <a:xfrm flipH="1">
          <a:off x="666750" y="123825"/>
          <a:ext cx="1828800" cy="628649"/>
        </a:xfrm>
        <a:prstGeom prst="wedgeRoundRectCallout">
          <a:avLst>
            <a:gd name="adj1" fmla="val -27289"/>
            <a:gd name="adj2" fmla="val 94364"/>
            <a:gd name="adj3" fmla="val 16667"/>
          </a:avLst>
        </a:prstGeom>
        <a:solidFill>
          <a:srgbClr val="FFFF0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ysClr val="windowText" lastClr="000000"/>
              </a:solidFill>
            </a:rPr>
            <a:t>直近</a:t>
          </a:r>
          <a:r>
            <a:rPr kumimoji="1" lang="en-US" altLang="ja-JP" sz="1000">
              <a:solidFill>
                <a:sysClr val="windowText" lastClr="000000"/>
              </a:solidFill>
            </a:rPr>
            <a:t>2</a:t>
          </a:r>
          <a:r>
            <a:rPr kumimoji="1" lang="ja-JP" altLang="en-US" sz="1000">
              <a:solidFill>
                <a:sysClr val="windowText" lastClr="000000"/>
              </a:solidFill>
            </a:rPr>
            <a:t>ヶ月分の資金繰り実績を入力してください。</a:t>
          </a:r>
        </a:p>
      </xdr:txBody>
    </xdr:sp>
    <xdr:clientData/>
  </xdr:twoCellAnchor>
  <xdr:twoCellAnchor>
    <xdr:from>
      <xdr:col>4</xdr:col>
      <xdr:colOff>57151</xdr:colOff>
      <xdr:row>1</xdr:row>
      <xdr:rowOff>200025</xdr:rowOff>
    </xdr:from>
    <xdr:to>
      <xdr:col>4</xdr:col>
      <xdr:colOff>819151</xdr:colOff>
      <xdr:row>3</xdr:row>
      <xdr:rowOff>257175</xdr:rowOff>
    </xdr:to>
    <xdr:sp macro="" textlink="">
      <xdr:nvSpPr>
        <xdr:cNvPr id="6" name="矢印: 右 5">
          <a:extLst>
            <a:ext uri="{FF2B5EF4-FFF2-40B4-BE49-F238E27FC236}">
              <a16:creationId xmlns:a16="http://schemas.microsoft.com/office/drawing/2014/main" id="{00000000-0008-0000-0600-000006000000}"/>
            </a:ext>
          </a:extLst>
        </xdr:cNvPr>
        <xdr:cNvSpPr/>
      </xdr:nvSpPr>
      <xdr:spPr>
        <a:xfrm>
          <a:off x="3495676" y="590550"/>
          <a:ext cx="762000" cy="5334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予定</a:t>
          </a:r>
          <a:endParaRPr kumimoji="1" lang="en-US" altLang="ja-JP" sz="1100"/>
        </a:p>
      </xdr:txBody>
    </xdr:sp>
    <xdr:clientData/>
  </xdr:twoCellAnchor>
  <xdr:twoCellAnchor>
    <xdr:from>
      <xdr:col>3</xdr:col>
      <xdr:colOff>47625</xdr:colOff>
      <xdr:row>1</xdr:row>
      <xdr:rowOff>228600</xdr:rowOff>
    </xdr:from>
    <xdr:to>
      <xdr:col>3</xdr:col>
      <xdr:colOff>762000</xdr:colOff>
      <xdr:row>3</xdr:row>
      <xdr:rowOff>247650</xdr:rowOff>
    </xdr:to>
    <xdr:sp macro="" textlink="">
      <xdr:nvSpPr>
        <xdr:cNvPr id="7" name="矢印: 左 6">
          <a:extLst>
            <a:ext uri="{FF2B5EF4-FFF2-40B4-BE49-F238E27FC236}">
              <a16:creationId xmlns:a16="http://schemas.microsoft.com/office/drawing/2014/main" id="{00000000-0008-0000-0600-000007000000}"/>
            </a:ext>
          </a:extLst>
        </xdr:cNvPr>
        <xdr:cNvSpPr/>
      </xdr:nvSpPr>
      <xdr:spPr>
        <a:xfrm>
          <a:off x="2638425" y="619125"/>
          <a:ext cx="714375" cy="495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実績</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8</xdr:col>
      <xdr:colOff>662828</xdr:colOff>
      <xdr:row>20</xdr:row>
      <xdr:rowOff>160245</xdr:rowOff>
    </xdr:from>
    <xdr:to>
      <xdr:col>12</xdr:col>
      <xdr:colOff>102533</xdr:colOff>
      <xdr:row>23</xdr:row>
      <xdr:rowOff>70597</xdr:rowOff>
    </xdr:to>
    <xdr:sp macro="" textlink="">
      <xdr:nvSpPr>
        <xdr:cNvPr id="2" name="角丸四角形吹き出し 4">
          <a:extLst>
            <a:ext uri="{FF2B5EF4-FFF2-40B4-BE49-F238E27FC236}">
              <a16:creationId xmlns:a16="http://schemas.microsoft.com/office/drawing/2014/main" id="{00000000-0008-0000-0700-000002000000}"/>
            </a:ext>
          </a:extLst>
        </xdr:cNvPr>
        <xdr:cNvSpPr/>
      </xdr:nvSpPr>
      <xdr:spPr>
        <a:xfrm>
          <a:off x="14312153" y="4922745"/>
          <a:ext cx="1392330" cy="624727"/>
        </a:xfrm>
        <a:prstGeom prst="wedgeRoundRectCallout">
          <a:avLst>
            <a:gd name="adj1" fmla="val -60175"/>
            <a:gd name="adj2" fmla="val -107316"/>
            <a:gd name="adj3" fmla="val 16667"/>
          </a:avLst>
        </a:prstGeom>
        <a:solidFill>
          <a:srgbClr val="FFFF0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000">
              <a:solidFill>
                <a:sysClr val="windowText" lastClr="000000"/>
              </a:solidFill>
            </a:rPr>
            <a:t>2</a:t>
          </a:r>
          <a:r>
            <a:rPr kumimoji="1" lang="ja-JP" altLang="en-US" sz="1000">
              <a:solidFill>
                <a:sysClr val="windowText" lastClr="000000"/>
              </a:solidFill>
            </a:rPr>
            <a:t>ヶ月前月初現預金残高</a:t>
          </a:r>
          <a:endParaRPr kumimoji="1" lang="en-US" altLang="ja-JP" sz="1000">
            <a:solidFill>
              <a:sysClr val="windowText" lastClr="000000"/>
            </a:solidFill>
          </a:endParaRPr>
        </a:p>
        <a:p>
          <a:pPr algn="l"/>
          <a:endParaRPr kumimoji="1" lang="ja-JP" altLang="en-US" sz="1000">
            <a:solidFill>
              <a:sysClr val="windowText" lastClr="00000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6</xdr:col>
      <xdr:colOff>295275</xdr:colOff>
      <xdr:row>31</xdr:row>
      <xdr:rowOff>190501</xdr:rowOff>
    </xdr:from>
    <xdr:to>
      <xdr:col>9</xdr:col>
      <xdr:colOff>809625</xdr:colOff>
      <xdr:row>33</xdr:row>
      <xdr:rowOff>78441</xdr:rowOff>
    </xdr:to>
    <xdr:sp macro="" textlink="">
      <xdr:nvSpPr>
        <xdr:cNvPr id="2" name="角丸四角形吹き出し 6">
          <a:extLst>
            <a:ext uri="{FF2B5EF4-FFF2-40B4-BE49-F238E27FC236}">
              <a16:creationId xmlns:a16="http://schemas.microsoft.com/office/drawing/2014/main" id="{00000000-0008-0000-0800-000002000000}"/>
            </a:ext>
          </a:extLst>
        </xdr:cNvPr>
        <xdr:cNvSpPr/>
      </xdr:nvSpPr>
      <xdr:spPr>
        <a:xfrm>
          <a:off x="5467350" y="9058276"/>
          <a:ext cx="3086100" cy="364190"/>
        </a:xfrm>
        <a:prstGeom prst="wedgeRoundRectCallout">
          <a:avLst>
            <a:gd name="adj1" fmla="val 31582"/>
            <a:gd name="adj2" fmla="val -110398"/>
            <a:gd name="adj3" fmla="val 16667"/>
          </a:avLst>
        </a:prstGeom>
        <a:solidFill>
          <a:srgbClr val="CCFF99"/>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ysClr val="windowText" lastClr="000000"/>
              </a:solidFill>
            </a:rPr>
            <a:t>月末現金残高の推移に着目してください。</a:t>
          </a:r>
          <a:br>
            <a:rPr kumimoji="1" lang="en-US" altLang="ja-JP" sz="1000">
              <a:solidFill>
                <a:sysClr val="windowText" lastClr="000000"/>
              </a:solidFill>
            </a:rPr>
          </a:br>
          <a:endParaRPr kumimoji="1" lang="ja-JP" altLang="en-US" sz="1000">
            <a:solidFill>
              <a:sysClr val="windowText" lastClr="000000"/>
            </a:solidFill>
          </a:endParaRPr>
        </a:p>
      </xdr:txBody>
    </xdr:sp>
    <xdr:clientData/>
  </xdr:twoCellAnchor>
  <xdr:twoCellAnchor>
    <xdr:from>
      <xdr:col>14</xdr:col>
      <xdr:colOff>457200</xdr:colOff>
      <xdr:row>1</xdr:row>
      <xdr:rowOff>104773</xdr:rowOff>
    </xdr:from>
    <xdr:to>
      <xdr:col>18</xdr:col>
      <xdr:colOff>19050</xdr:colOff>
      <xdr:row>3</xdr:row>
      <xdr:rowOff>228600</xdr:rowOff>
    </xdr:to>
    <xdr:sp macro="" textlink="">
      <xdr:nvSpPr>
        <xdr:cNvPr id="3" name="角丸四角形吹き出し 4">
          <a:extLst>
            <a:ext uri="{FF2B5EF4-FFF2-40B4-BE49-F238E27FC236}">
              <a16:creationId xmlns:a16="http://schemas.microsoft.com/office/drawing/2014/main" id="{00000000-0008-0000-0800-000003000000}"/>
            </a:ext>
          </a:extLst>
        </xdr:cNvPr>
        <xdr:cNvSpPr/>
      </xdr:nvSpPr>
      <xdr:spPr>
        <a:xfrm>
          <a:off x="12639675" y="495298"/>
          <a:ext cx="2990850" cy="600077"/>
        </a:xfrm>
        <a:prstGeom prst="wedgeRoundRectCallout">
          <a:avLst>
            <a:gd name="adj1" fmla="val 30585"/>
            <a:gd name="adj2" fmla="val -83413"/>
            <a:gd name="adj3" fmla="val 16667"/>
          </a:avLst>
        </a:prstGeom>
        <a:solidFill>
          <a:srgbClr val="FFFF66"/>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ysClr val="windowText" lastClr="000000"/>
              </a:solidFill>
            </a:rPr>
            <a:t>計画通りに進まなかったケースを想定し、低めに入力してください。</a:t>
          </a:r>
        </a:p>
      </xdr:txBody>
    </xdr:sp>
    <xdr:clientData/>
  </xdr:twoCellAnchor>
  <xdr:twoCellAnchor>
    <xdr:from>
      <xdr:col>13</xdr:col>
      <xdr:colOff>457199</xdr:colOff>
      <xdr:row>31</xdr:row>
      <xdr:rowOff>219075</xdr:rowOff>
    </xdr:from>
    <xdr:to>
      <xdr:col>18</xdr:col>
      <xdr:colOff>28574</xdr:colOff>
      <xdr:row>34</xdr:row>
      <xdr:rowOff>142875</xdr:rowOff>
    </xdr:to>
    <xdr:sp macro="" textlink="">
      <xdr:nvSpPr>
        <xdr:cNvPr id="4" name="角丸四角形吹き出し 5">
          <a:extLst>
            <a:ext uri="{FF2B5EF4-FFF2-40B4-BE49-F238E27FC236}">
              <a16:creationId xmlns:a16="http://schemas.microsoft.com/office/drawing/2014/main" id="{00000000-0008-0000-0800-000004000000}"/>
            </a:ext>
          </a:extLst>
        </xdr:cNvPr>
        <xdr:cNvSpPr/>
      </xdr:nvSpPr>
      <xdr:spPr>
        <a:xfrm>
          <a:off x="11782424" y="9086850"/>
          <a:ext cx="3857625" cy="638175"/>
        </a:xfrm>
        <a:prstGeom prst="wedgeRoundRectCallout">
          <a:avLst>
            <a:gd name="adj1" fmla="val 33519"/>
            <a:gd name="adj2" fmla="val -87367"/>
            <a:gd name="adj3" fmla="val 16667"/>
          </a:avLst>
        </a:prstGeom>
        <a:solidFill>
          <a:srgbClr val="CCFF99"/>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ysClr val="windowText" lastClr="000000"/>
              </a:solidFill>
            </a:rPr>
            <a:t>計画値が未達成となった場合の、月末現金残高の推移に着目してください。</a:t>
          </a:r>
        </a:p>
      </xdr:txBody>
    </xdr:sp>
    <xdr:clientData/>
  </xdr:twoCellAnchor>
  <xdr:twoCellAnchor>
    <xdr:from>
      <xdr:col>4</xdr:col>
      <xdr:colOff>57151</xdr:colOff>
      <xdr:row>1</xdr:row>
      <xdr:rowOff>200025</xdr:rowOff>
    </xdr:from>
    <xdr:to>
      <xdr:col>4</xdr:col>
      <xdr:colOff>819151</xdr:colOff>
      <xdr:row>3</xdr:row>
      <xdr:rowOff>257175</xdr:rowOff>
    </xdr:to>
    <xdr:sp macro="" textlink="">
      <xdr:nvSpPr>
        <xdr:cNvPr id="6" name="矢印: 右 5">
          <a:extLst>
            <a:ext uri="{FF2B5EF4-FFF2-40B4-BE49-F238E27FC236}">
              <a16:creationId xmlns:a16="http://schemas.microsoft.com/office/drawing/2014/main" id="{00000000-0008-0000-0800-000006000000}"/>
            </a:ext>
          </a:extLst>
        </xdr:cNvPr>
        <xdr:cNvSpPr/>
      </xdr:nvSpPr>
      <xdr:spPr>
        <a:xfrm>
          <a:off x="3514726" y="590550"/>
          <a:ext cx="762000" cy="5334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予定</a:t>
          </a:r>
          <a:endParaRPr kumimoji="1" lang="en-US" altLang="ja-JP" sz="1100"/>
        </a:p>
      </xdr:txBody>
    </xdr:sp>
    <xdr:clientData/>
  </xdr:twoCellAnchor>
  <xdr:twoCellAnchor>
    <xdr:from>
      <xdr:col>3</xdr:col>
      <xdr:colOff>47625</xdr:colOff>
      <xdr:row>1</xdr:row>
      <xdr:rowOff>228600</xdr:rowOff>
    </xdr:from>
    <xdr:to>
      <xdr:col>3</xdr:col>
      <xdr:colOff>762000</xdr:colOff>
      <xdr:row>3</xdr:row>
      <xdr:rowOff>247650</xdr:rowOff>
    </xdr:to>
    <xdr:sp macro="" textlink="">
      <xdr:nvSpPr>
        <xdr:cNvPr id="7" name="矢印: 左 6">
          <a:extLst>
            <a:ext uri="{FF2B5EF4-FFF2-40B4-BE49-F238E27FC236}">
              <a16:creationId xmlns:a16="http://schemas.microsoft.com/office/drawing/2014/main" id="{00000000-0008-0000-0800-000007000000}"/>
            </a:ext>
          </a:extLst>
        </xdr:cNvPr>
        <xdr:cNvSpPr/>
      </xdr:nvSpPr>
      <xdr:spPr>
        <a:xfrm>
          <a:off x="2647950" y="619125"/>
          <a:ext cx="714375" cy="495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実績</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4</xdr:col>
      <xdr:colOff>9525</xdr:colOff>
      <xdr:row>13</xdr:row>
      <xdr:rowOff>47625</xdr:rowOff>
    </xdr:from>
    <xdr:to>
      <xdr:col>5</xdr:col>
      <xdr:colOff>1</xdr:colOff>
      <xdr:row>14</xdr:row>
      <xdr:rowOff>182221</xdr:rowOff>
    </xdr:to>
    <xdr:sp macro="" textlink="">
      <xdr:nvSpPr>
        <xdr:cNvPr id="2" name="矢印: 左 1">
          <a:extLst>
            <a:ext uri="{FF2B5EF4-FFF2-40B4-BE49-F238E27FC236}">
              <a16:creationId xmlns:a16="http://schemas.microsoft.com/office/drawing/2014/main" id="{00000000-0008-0000-0900-000002000000}"/>
            </a:ext>
          </a:extLst>
        </xdr:cNvPr>
        <xdr:cNvSpPr/>
      </xdr:nvSpPr>
      <xdr:spPr>
        <a:xfrm>
          <a:off x="9563100" y="3143250"/>
          <a:ext cx="676276" cy="372721"/>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9525</xdr:colOff>
      <xdr:row>20</xdr:row>
      <xdr:rowOff>47625</xdr:rowOff>
    </xdr:from>
    <xdr:to>
      <xdr:col>5</xdr:col>
      <xdr:colOff>1</xdr:colOff>
      <xdr:row>21</xdr:row>
      <xdr:rowOff>182221</xdr:rowOff>
    </xdr:to>
    <xdr:sp macro="" textlink="">
      <xdr:nvSpPr>
        <xdr:cNvPr id="6" name="矢印: 左 5">
          <a:extLst>
            <a:ext uri="{FF2B5EF4-FFF2-40B4-BE49-F238E27FC236}">
              <a16:creationId xmlns:a16="http://schemas.microsoft.com/office/drawing/2014/main" id="{00000000-0008-0000-0900-000006000000}"/>
            </a:ext>
          </a:extLst>
        </xdr:cNvPr>
        <xdr:cNvSpPr/>
      </xdr:nvSpPr>
      <xdr:spPr>
        <a:xfrm>
          <a:off x="10248900" y="4810125"/>
          <a:ext cx="638176" cy="372721"/>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2962275</xdr:colOff>
      <xdr:row>50</xdr:row>
      <xdr:rowOff>114300</xdr:rowOff>
    </xdr:from>
    <xdr:to>
      <xdr:col>1</xdr:col>
      <xdr:colOff>5114925</xdr:colOff>
      <xdr:row>54</xdr:row>
      <xdr:rowOff>0</xdr:rowOff>
    </xdr:to>
    <xdr:sp macro="" textlink="">
      <xdr:nvSpPr>
        <xdr:cNvPr id="4" name="角丸四角形吹き出し 6">
          <a:extLst>
            <a:ext uri="{FF2B5EF4-FFF2-40B4-BE49-F238E27FC236}">
              <a16:creationId xmlns:a16="http://schemas.microsoft.com/office/drawing/2014/main" id="{00000000-0008-0000-0900-000004000000}"/>
            </a:ext>
          </a:extLst>
        </xdr:cNvPr>
        <xdr:cNvSpPr/>
      </xdr:nvSpPr>
      <xdr:spPr>
        <a:xfrm>
          <a:off x="3071132" y="12360729"/>
          <a:ext cx="2152650" cy="865414"/>
        </a:xfrm>
        <a:prstGeom prst="wedgeRoundRectCallout">
          <a:avLst>
            <a:gd name="adj1" fmla="val -109740"/>
            <a:gd name="adj2" fmla="val -133377"/>
            <a:gd name="adj3" fmla="val 16667"/>
          </a:avLst>
        </a:prstGeom>
        <a:solidFill>
          <a:srgbClr val="CCFF99"/>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ysClr val="windowText" lastClr="000000"/>
              </a:solidFill>
            </a:rPr>
            <a:t>水道光熱費・旅費交通費・接待交際費・通信費・賃借料・一部製造経費等</a:t>
          </a:r>
          <a:br>
            <a:rPr kumimoji="1" lang="en-US" altLang="ja-JP" sz="1000">
              <a:solidFill>
                <a:sysClr val="windowText" lastClr="000000"/>
              </a:solidFill>
            </a:rPr>
          </a:br>
          <a:endParaRPr kumimoji="1" lang="ja-JP" altLang="en-US" sz="1000">
            <a:solidFill>
              <a:sysClr val="windowText" lastClr="000000"/>
            </a:solidFill>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6</xdr:col>
      <xdr:colOff>76200</xdr:colOff>
      <xdr:row>28</xdr:row>
      <xdr:rowOff>190501</xdr:rowOff>
    </xdr:from>
    <xdr:to>
      <xdr:col>9</xdr:col>
      <xdr:colOff>590550</xdr:colOff>
      <xdr:row>30</xdr:row>
      <xdr:rowOff>78441</xdr:rowOff>
    </xdr:to>
    <xdr:sp macro="" textlink="">
      <xdr:nvSpPr>
        <xdr:cNvPr id="2" name="角丸四角形吹き出し 6">
          <a:extLst>
            <a:ext uri="{FF2B5EF4-FFF2-40B4-BE49-F238E27FC236}">
              <a16:creationId xmlns:a16="http://schemas.microsoft.com/office/drawing/2014/main" id="{00000000-0008-0000-0B00-000002000000}"/>
            </a:ext>
          </a:extLst>
        </xdr:cNvPr>
        <xdr:cNvSpPr/>
      </xdr:nvSpPr>
      <xdr:spPr>
        <a:xfrm>
          <a:off x="5076825" y="8201026"/>
          <a:ext cx="2657475" cy="364190"/>
        </a:xfrm>
        <a:prstGeom prst="wedgeRoundRectCallout">
          <a:avLst>
            <a:gd name="adj1" fmla="val 31582"/>
            <a:gd name="adj2" fmla="val -110398"/>
            <a:gd name="adj3" fmla="val 16667"/>
          </a:avLst>
        </a:prstGeom>
        <a:solidFill>
          <a:srgbClr val="FFFF0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ysClr val="windowText" lastClr="000000"/>
              </a:solidFill>
            </a:rPr>
            <a:t>月末現金残高の推移に着目してください。</a:t>
          </a:r>
          <a:br>
            <a:rPr kumimoji="1" lang="en-US" altLang="ja-JP" sz="1000">
              <a:solidFill>
                <a:sysClr val="windowText" lastClr="000000"/>
              </a:solidFill>
            </a:rPr>
          </a:br>
          <a:endParaRPr kumimoji="1" lang="ja-JP" altLang="en-US" sz="1000">
            <a:solidFill>
              <a:sysClr val="windowText" lastClr="000000"/>
            </a:solidFill>
          </a:endParaRPr>
        </a:p>
      </xdr:txBody>
    </xdr:sp>
    <xdr:clientData/>
  </xdr:twoCellAnchor>
  <xdr:twoCellAnchor>
    <xdr:from>
      <xdr:col>14</xdr:col>
      <xdr:colOff>457200</xdr:colOff>
      <xdr:row>1</xdr:row>
      <xdr:rowOff>104773</xdr:rowOff>
    </xdr:from>
    <xdr:to>
      <xdr:col>18</xdr:col>
      <xdr:colOff>19050</xdr:colOff>
      <xdr:row>3</xdr:row>
      <xdr:rowOff>228600</xdr:rowOff>
    </xdr:to>
    <xdr:sp macro="" textlink="">
      <xdr:nvSpPr>
        <xdr:cNvPr id="3" name="角丸四角形吹き出し 4">
          <a:extLst>
            <a:ext uri="{FF2B5EF4-FFF2-40B4-BE49-F238E27FC236}">
              <a16:creationId xmlns:a16="http://schemas.microsoft.com/office/drawing/2014/main" id="{00000000-0008-0000-0B00-000003000000}"/>
            </a:ext>
          </a:extLst>
        </xdr:cNvPr>
        <xdr:cNvSpPr/>
      </xdr:nvSpPr>
      <xdr:spPr>
        <a:xfrm>
          <a:off x="11630025" y="495298"/>
          <a:ext cx="2419350" cy="600077"/>
        </a:xfrm>
        <a:prstGeom prst="wedgeRoundRectCallout">
          <a:avLst>
            <a:gd name="adj1" fmla="val 30585"/>
            <a:gd name="adj2" fmla="val -83413"/>
            <a:gd name="adj3" fmla="val 16667"/>
          </a:avLst>
        </a:prstGeom>
        <a:solidFill>
          <a:srgbClr val="FFFF0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ysClr val="windowText" lastClr="000000"/>
              </a:solidFill>
            </a:rPr>
            <a:t>計画通りに進まなかったケースを想定し、低めに入力してください。</a:t>
          </a:r>
        </a:p>
      </xdr:txBody>
    </xdr:sp>
    <xdr:clientData/>
  </xdr:twoCellAnchor>
  <xdr:twoCellAnchor>
    <xdr:from>
      <xdr:col>13</xdr:col>
      <xdr:colOff>180974</xdr:colOff>
      <xdr:row>28</xdr:row>
      <xdr:rowOff>219075</xdr:rowOff>
    </xdr:from>
    <xdr:to>
      <xdr:col>17</xdr:col>
      <xdr:colOff>609599</xdr:colOff>
      <xdr:row>31</xdr:row>
      <xdr:rowOff>142875</xdr:rowOff>
    </xdr:to>
    <xdr:sp macro="" textlink="">
      <xdr:nvSpPr>
        <xdr:cNvPr id="4" name="角丸四角形吹き出し 5">
          <a:extLst>
            <a:ext uri="{FF2B5EF4-FFF2-40B4-BE49-F238E27FC236}">
              <a16:creationId xmlns:a16="http://schemas.microsoft.com/office/drawing/2014/main" id="{00000000-0008-0000-0B00-000004000000}"/>
            </a:ext>
          </a:extLst>
        </xdr:cNvPr>
        <xdr:cNvSpPr/>
      </xdr:nvSpPr>
      <xdr:spPr>
        <a:xfrm>
          <a:off x="10591799" y="8229600"/>
          <a:ext cx="3333750" cy="638175"/>
        </a:xfrm>
        <a:prstGeom prst="wedgeRoundRectCallout">
          <a:avLst>
            <a:gd name="adj1" fmla="val 33519"/>
            <a:gd name="adj2" fmla="val -87367"/>
            <a:gd name="adj3" fmla="val 16667"/>
          </a:avLst>
        </a:prstGeom>
        <a:solidFill>
          <a:srgbClr val="FFFF0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ysClr val="windowText" lastClr="000000"/>
              </a:solidFill>
            </a:rPr>
            <a:t>計画値が未達成となった場合の、月末現金残高の推移に着目してください。</a:t>
          </a:r>
        </a:p>
      </xdr:txBody>
    </xdr:sp>
    <xdr:clientData/>
  </xdr:twoCellAnchor>
  <xdr:twoCellAnchor>
    <xdr:from>
      <xdr:col>1</xdr:col>
      <xdr:colOff>266700</xdr:colOff>
      <xdr:row>0</xdr:row>
      <xdr:rowOff>123825</xdr:rowOff>
    </xdr:from>
    <xdr:to>
      <xdr:col>2</xdr:col>
      <xdr:colOff>752475</xdr:colOff>
      <xdr:row>2</xdr:row>
      <xdr:rowOff>123824</xdr:rowOff>
    </xdr:to>
    <xdr:sp macro="" textlink="">
      <xdr:nvSpPr>
        <xdr:cNvPr id="5" name="角丸四角形吹き出し 4">
          <a:extLst>
            <a:ext uri="{FF2B5EF4-FFF2-40B4-BE49-F238E27FC236}">
              <a16:creationId xmlns:a16="http://schemas.microsoft.com/office/drawing/2014/main" id="{00000000-0008-0000-0B00-000005000000}"/>
            </a:ext>
          </a:extLst>
        </xdr:cNvPr>
        <xdr:cNvSpPr/>
      </xdr:nvSpPr>
      <xdr:spPr>
        <a:xfrm flipH="1">
          <a:off x="666750" y="123825"/>
          <a:ext cx="1828800" cy="628649"/>
        </a:xfrm>
        <a:prstGeom prst="wedgeRoundRectCallout">
          <a:avLst>
            <a:gd name="adj1" fmla="val -27289"/>
            <a:gd name="adj2" fmla="val 94364"/>
            <a:gd name="adj3" fmla="val 16667"/>
          </a:avLst>
        </a:prstGeom>
        <a:solidFill>
          <a:srgbClr val="FFFF0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ysClr val="windowText" lastClr="000000"/>
              </a:solidFill>
            </a:rPr>
            <a:t>直近</a:t>
          </a:r>
          <a:r>
            <a:rPr kumimoji="1" lang="en-US" altLang="ja-JP" sz="1000">
              <a:solidFill>
                <a:sysClr val="windowText" lastClr="000000"/>
              </a:solidFill>
            </a:rPr>
            <a:t>2</a:t>
          </a:r>
          <a:r>
            <a:rPr kumimoji="1" lang="ja-JP" altLang="en-US" sz="1000">
              <a:solidFill>
                <a:sysClr val="windowText" lastClr="000000"/>
              </a:solidFill>
            </a:rPr>
            <a:t>ヶ月分の資金繰り実績を入力してください。</a:t>
          </a:r>
        </a:p>
      </xdr:txBody>
    </xdr:sp>
    <xdr:clientData/>
  </xdr:twoCellAnchor>
  <xdr:twoCellAnchor>
    <xdr:from>
      <xdr:col>4</xdr:col>
      <xdr:colOff>57151</xdr:colOff>
      <xdr:row>1</xdr:row>
      <xdr:rowOff>200025</xdr:rowOff>
    </xdr:from>
    <xdr:to>
      <xdr:col>4</xdr:col>
      <xdr:colOff>819151</xdr:colOff>
      <xdr:row>3</xdr:row>
      <xdr:rowOff>257175</xdr:rowOff>
    </xdr:to>
    <xdr:sp macro="" textlink="">
      <xdr:nvSpPr>
        <xdr:cNvPr id="6" name="矢印: 右 5">
          <a:extLst>
            <a:ext uri="{FF2B5EF4-FFF2-40B4-BE49-F238E27FC236}">
              <a16:creationId xmlns:a16="http://schemas.microsoft.com/office/drawing/2014/main" id="{00000000-0008-0000-0B00-000006000000}"/>
            </a:ext>
          </a:extLst>
        </xdr:cNvPr>
        <xdr:cNvSpPr/>
      </xdr:nvSpPr>
      <xdr:spPr>
        <a:xfrm>
          <a:off x="3495676" y="590550"/>
          <a:ext cx="762000" cy="5334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予定</a:t>
          </a:r>
          <a:endParaRPr kumimoji="1" lang="en-US" altLang="ja-JP" sz="1100"/>
        </a:p>
      </xdr:txBody>
    </xdr:sp>
    <xdr:clientData/>
  </xdr:twoCellAnchor>
  <xdr:twoCellAnchor>
    <xdr:from>
      <xdr:col>3</xdr:col>
      <xdr:colOff>47625</xdr:colOff>
      <xdr:row>1</xdr:row>
      <xdr:rowOff>228600</xdr:rowOff>
    </xdr:from>
    <xdr:to>
      <xdr:col>3</xdr:col>
      <xdr:colOff>762000</xdr:colOff>
      <xdr:row>3</xdr:row>
      <xdr:rowOff>247650</xdr:rowOff>
    </xdr:to>
    <xdr:sp macro="" textlink="">
      <xdr:nvSpPr>
        <xdr:cNvPr id="7" name="矢印: 左 6">
          <a:extLst>
            <a:ext uri="{FF2B5EF4-FFF2-40B4-BE49-F238E27FC236}">
              <a16:creationId xmlns:a16="http://schemas.microsoft.com/office/drawing/2014/main" id="{00000000-0008-0000-0B00-000007000000}"/>
            </a:ext>
          </a:extLst>
        </xdr:cNvPr>
        <xdr:cNvSpPr/>
      </xdr:nvSpPr>
      <xdr:spPr>
        <a:xfrm>
          <a:off x="2638425" y="619125"/>
          <a:ext cx="714375" cy="495300"/>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実績</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12</xdr:col>
      <xdr:colOff>323850</xdr:colOff>
      <xdr:row>1</xdr:row>
      <xdr:rowOff>133350</xdr:rowOff>
    </xdr:from>
    <xdr:to>
      <xdr:col>16</xdr:col>
      <xdr:colOff>0</xdr:colOff>
      <xdr:row>3</xdr:row>
      <xdr:rowOff>257177</xdr:rowOff>
    </xdr:to>
    <xdr:sp macro="" textlink="">
      <xdr:nvSpPr>
        <xdr:cNvPr id="2" name="角丸四角形吹き出し 3">
          <a:extLst>
            <a:ext uri="{FF2B5EF4-FFF2-40B4-BE49-F238E27FC236}">
              <a16:creationId xmlns:a16="http://schemas.microsoft.com/office/drawing/2014/main" id="{00000000-0008-0000-0E00-000002000000}"/>
            </a:ext>
          </a:extLst>
        </xdr:cNvPr>
        <xdr:cNvSpPr/>
      </xdr:nvSpPr>
      <xdr:spPr>
        <a:xfrm>
          <a:off x="9791700" y="523875"/>
          <a:ext cx="2533650" cy="600077"/>
        </a:xfrm>
        <a:prstGeom prst="wedgeRoundRectCallout">
          <a:avLst>
            <a:gd name="adj1" fmla="val 30585"/>
            <a:gd name="adj2" fmla="val -83413"/>
            <a:gd name="adj3" fmla="val 16667"/>
          </a:avLst>
        </a:prstGeom>
        <a:solidFill>
          <a:srgbClr val="FFFF0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ysClr val="windowText" lastClr="000000"/>
              </a:solidFill>
            </a:rPr>
            <a:t>計画通りに進まなかったケースを想定し、低めに入力してください。</a:t>
          </a:r>
        </a:p>
      </xdr:txBody>
    </xdr:sp>
    <xdr:clientData/>
  </xdr:twoCellAnchor>
  <xdr:twoCellAnchor>
    <xdr:from>
      <xdr:col>4</xdr:col>
      <xdr:colOff>47625</xdr:colOff>
      <xdr:row>27</xdr:row>
      <xdr:rowOff>209550</xdr:rowOff>
    </xdr:from>
    <xdr:to>
      <xdr:col>7</xdr:col>
      <xdr:colOff>647700</xdr:colOff>
      <xdr:row>29</xdr:row>
      <xdr:rowOff>85725</xdr:rowOff>
    </xdr:to>
    <xdr:sp macro="" textlink="">
      <xdr:nvSpPr>
        <xdr:cNvPr id="3" name="角丸四角形吹き出し 4">
          <a:extLst>
            <a:ext uri="{FF2B5EF4-FFF2-40B4-BE49-F238E27FC236}">
              <a16:creationId xmlns:a16="http://schemas.microsoft.com/office/drawing/2014/main" id="{00000000-0008-0000-0E00-000003000000}"/>
            </a:ext>
          </a:extLst>
        </xdr:cNvPr>
        <xdr:cNvSpPr/>
      </xdr:nvSpPr>
      <xdr:spPr>
        <a:xfrm>
          <a:off x="3390900" y="7972425"/>
          <a:ext cx="2743200" cy="352425"/>
        </a:xfrm>
        <a:prstGeom prst="wedgeRoundRectCallout">
          <a:avLst>
            <a:gd name="adj1" fmla="val 31582"/>
            <a:gd name="adj2" fmla="val -110398"/>
            <a:gd name="adj3" fmla="val 16667"/>
          </a:avLst>
        </a:prstGeom>
        <a:solidFill>
          <a:srgbClr val="FFFF0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ysClr val="windowText" lastClr="000000"/>
              </a:solidFill>
            </a:rPr>
            <a:t>月末現金残高の推移に着目してください。</a:t>
          </a:r>
          <a:br>
            <a:rPr kumimoji="1" lang="en-US" altLang="ja-JP" sz="1000">
              <a:solidFill>
                <a:sysClr val="windowText" lastClr="000000"/>
              </a:solidFill>
            </a:rPr>
          </a:br>
          <a:endParaRPr kumimoji="1" lang="ja-JP" altLang="en-US" sz="1000">
            <a:solidFill>
              <a:sysClr val="windowText" lastClr="000000"/>
            </a:solidFill>
          </a:endParaRPr>
        </a:p>
      </xdr:txBody>
    </xdr:sp>
    <xdr:clientData/>
  </xdr:twoCellAnchor>
  <xdr:twoCellAnchor>
    <xdr:from>
      <xdr:col>11</xdr:col>
      <xdr:colOff>104775</xdr:colOff>
      <xdr:row>27</xdr:row>
      <xdr:rowOff>219075</xdr:rowOff>
    </xdr:from>
    <xdr:to>
      <xdr:col>15</xdr:col>
      <xdr:colOff>647700</xdr:colOff>
      <xdr:row>30</xdr:row>
      <xdr:rowOff>142875</xdr:rowOff>
    </xdr:to>
    <xdr:sp macro="" textlink="">
      <xdr:nvSpPr>
        <xdr:cNvPr id="4" name="角丸四角形吹き出し 5">
          <a:extLst>
            <a:ext uri="{FF2B5EF4-FFF2-40B4-BE49-F238E27FC236}">
              <a16:creationId xmlns:a16="http://schemas.microsoft.com/office/drawing/2014/main" id="{00000000-0008-0000-0E00-000004000000}"/>
            </a:ext>
          </a:extLst>
        </xdr:cNvPr>
        <xdr:cNvSpPr/>
      </xdr:nvSpPr>
      <xdr:spPr>
        <a:xfrm>
          <a:off x="8858250" y="7981950"/>
          <a:ext cx="3400425" cy="638175"/>
        </a:xfrm>
        <a:prstGeom prst="wedgeRoundRectCallout">
          <a:avLst>
            <a:gd name="adj1" fmla="val 33519"/>
            <a:gd name="adj2" fmla="val -87367"/>
            <a:gd name="adj3" fmla="val 16667"/>
          </a:avLst>
        </a:prstGeom>
        <a:solidFill>
          <a:srgbClr val="FFFF0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ysClr val="windowText" lastClr="000000"/>
              </a:solidFill>
            </a:rPr>
            <a:t>計画値が未達成となった場合の、月末現金残高の推移に着目してください。</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10</xdr:col>
      <xdr:colOff>338138</xdr:colOff>
      <xdr:row>25</xdr:row>
      <xdr:rowOff>171573</xdr:rowOff>
    </xdr:from>
    <xdr:to>
      <xdr:col>16</xdr:col>
      <xdr:colOff>2119314</xdr:colOff>
      <xdr:row>27</xdr:row>
      <xdr:rowOff>41519</xdr:rowOff>
    </xdr:to>
    <xdr:sp macro="" textlink="">
      <xdr:nvSpPr>
        <xdr:cNvPr id="2" name="正方形/長方形 1">
          <a:extLst>
            <a:ext uri="{FF2B5EF4-FFF2-40B4-BE49-F238E27FC236}">
              <a16:creationId xmlns:a16="http://schemas.microsoft.com/office/drawing/2014/main" id="{00000000-0008-0000-0F00-000002000000}"/>
            </a:ext>
          </a:extLst>
        </xdr:cNvPr>
        <xdr:cNvSpPr/>
      </xdr:nvSpPr>
      <xdr:spPr>
        <a:xfrm>
          <a:off x="21207413" y="15973548"/>
          <a:ext cx="16697326" cy="1393946"/>
        </a:xfrm>
        <a:prstGeom prst="rect">
          <a:avLst/>
        </a:prstGeom>
        <a:solidFill>
          <a:schemeClr val="accent1">
            <a:lumMod val="20000"/>
            <a:lumOff val="80000"/>
          </a:schemeClr>
        </a:solidFill>
      </xdr:spPr>
      <xdr:style>
        <a:lnRef idx="0">
          <a:schemeClr val="accent1"/>
        </a:lnRef>
        <a:fillRef idx="3">
          <a:schemeClr val="accent1"/>
        </a:fillRef>
        <a:effectRef idx="3">
          <a:schemeClr val="accent1"/>
        </a:effectRef>
        <a:fontRef idx="minor">
          <a:schemeClr val="lt1"/>
        </a:fontRef>
      </xdr:style>
      <xdr:txBody>
        <a:bodyPr vertOverflow="clip" horzOverflow="clip" rtlCol="0"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a:pPr>
          <a:r>
            <a:rPr lang="ja-JP" altLang="ja-JP" sz="2800" b="1">
              <a:solidFill>
                <a:schemeClr val="tx1"/>
              </a:solidFill>
              <a:effectLst/>
              <a:latin typeface="ＭＳ ゴシック" panose="020B0609070205080204" pitchFamily="49" charset="-128"/>
              <a:ea typeface="ＭＳ ゴシック" panose="020B0609070205080204" pitchFamily="49" charset="-128"/>
              <a:cs typeface="+mn-cs"/>
            </a:rPr>
            <a:t>事業承継予定者が「不在・未定」の事業者に対して事業承継の実現や経営資源の引継ぎを支援します</a:t>
          </a:r>
          <a:endParaRPr lang="en-US" altLang="ja-JP" sz="2800" b="1">
            <a:solidFill>
              <a:schemeClr val="tx1"/>
            </a:solidFill>
            <a:effectLst/>
            <a:latin typeface="ＭＳ ゴシック" panose="020B0609070205080204" pitchFamily="49" charset="-128"/>
            <a:ea typeface="ＭＳ ゴシック" panose="020B0609070205080204" pitchFamily="49" charset="-128"/>
            <a:cs typeface="+mn-cs"/>
          </a:endParaRPr>
        </a:p>
        <a:p>
          <a:pPr marL="0" marR="0" lvl="0" indent="0" algn="ctr" defTabSz="914400" rtl="0" eaLnBrk="1" fontAlgn="auto" latinLnBrk="0" hangingPunct="1">
            <a:lnSpc>
              <a:spcPct val="100000"/>
            </a:lnSpc>
            <a:spcBef>
              <a:spcPts val="0"/>
            </a:spcBef>
            <a:spcAft>
              <a:spcPts val="0"/>
            </a:spcAft>
            <a:buClrTx/>
            <a:buSzTx/>
            <a:buFontTx/>
            <a:buNone/>
            <a:tabLst/>
            <a:defRPr/>
          </a:pPr>
          <a:r>
            <a:rPr kumimoji="1" lang="ja-JP" altLang="ja-JP" sz="2400">
              <a:solidFill>
                <a:schemeClr val="dk1"/>
              </a:solidFill>
              <a:effectLst/>
              <a:latin typeface="ＭＳ ゴシック" panose="020B0609070205080204" pitchFamily="49" charset="-128"/>
              <a:ea typeface="ＭＳ ゴシック" panose="020B0609070205080204" pitchFamily="49" charset="-128"/>
              <a:cs typeface="+mn-cs"/>
            </a:rPr>
            <a:t>栃木県事業引継ぎ支援センターと連携を図り事業承継に関する様々な支援を行います</a:t>
          </a:r>
          <a:endParaRPr lang="ja-JP" altLang="ja-JP" sz="2400" b="1">
            <a:solidFill>
              <a:schemeClr val="tx1"/>
            </a:solidFill>
            <a:effectLst/>
            <a:latin typeface="ＭＳ ゴシック" panose="020B0609070205080204" pitchFamily="49" charset="-128"/>
            <a:ea typeface="ＭＳ ゴシック" panose="020B0609070205080204" pitchFamily="49" charset="-128"/>
          </a:endParaRPr>
        </a:p>
        <a:p>
          <a:pPr algn="l"/>
          <a:endParaRPr kumimoji="1" lang="ja-JP" altLang="en-US" sz="1100"/>
        </a:p>
      </xdr:txBody>
    </xdr:sp>
    <xdr:clientData/>
  </xdr:twoCellAnchor>
  <xdr:twoCellAnchor>
    <xdr:from>
      <xdr:col>10</xdr:col>
      <xdr:colOff>1116887</xdr:colOff>
      <xdr:row>35</xdr:row>
      <xdr:rowOff>117836</xdr:rowOff>
    </xdr:from>
    <xdr:to>
      <xdr:col>16</xdr:col>
      <xdr:colOff>1551305</xdr:colOff>
      <xdr:row>36</xdr:row>
      <xdr:rowOff>102129</xdr:rowOff>
    </xdr:to>
    <xdr:grpSp>
      <xdr:nvGrpSpPr>
        <xdr:cNvPr id="3" name="グループ化 2">
          <a:extLst>
            <a:ext uri="{FF2B5EF4-FFF2-40B4-BE49-F238E27FC236}">
              <a16:creationId xmlns:a16="http://schemas.microsoft.com/office/drawing/2014/main" id="{00000000-0008-0000-0F00-000003000000}"/>
            </a:ext>
          </a:extLst>
        </xdr:cNvPr>
        <xdr:cNvGrpSpPr/>
      </xdr:nvGrpSpPr>
      <xdr:grpSpPr>
        <a:xfrm>
          <a:off x="22071887" y="23549336"/>
          <a:ext cx="15293418" cy="746293"/>
          <a:chOff x="21402968" y="22134045"/>
          <a:chExt cx="15412013" cy="746333"/>
        </a:xfrm>
      </xdr:grpSpPr>
      <xdr:sp macro="" textlink="">
        <xdr:nvSpPr>
          <xdr:cNvPr id="4" name="正方形/長方形 3">
            <a:extLst>
              <a:ext uri="{FF2B5EF4-FFF2-40B4-BE49-F238E27FC236}">
                <a16:creationId xmlns:a16="http://schemas.microsoft.com/office/drawing/2014/main" id="{00000000-0008-0000-0F00-000004000000}"/>
              </a:ext>
            </a:extLst>
          </xdr:cNvPr>
          <xdr:cNvSpPr/>
        </xdr:nvSpPr>
        <xdr:spPr>
          <a:xfrm>
            <a:off x="21402968" y="22138223"/>
            <a:ext cx="5626101" cy="74215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marR="0" lvl="0" indent="0" algn="l" defTabSz="914400" rtl="0" eaLnBrk="1" fontAlgn="auto" latinLnBrk="0" hangingPunct="1">
              <a:lnSpc>
                <a:spcPct val="100000"/>
              </a:lnSpc>
              <a:spcBef>
                <a:spcPts val="0"/>
              </a:spcBef>
              <a:spcAft>
                <a:spcPts val="0"/>
              </a:spcAft>
              <a:buClrTx/>
              <a:buSzTx/>
              <a:buFontTx/>
              <a:buNone/>
              <a:tabLst/>
              <a:defRPr/>
            </a:pPr>
            <a:r>
              <a:rPr kumimoji="1" lang="en-US" altLang="ja-JP" sz="3200" b="1">
                <a:solidFill>
                  <a:schemeClr val="tx1"/>
                </a:solidFill>
                <a:effectLst/>
                <a:latin typeface="ＭＳ ゴシック" panose="020B0609070205080204" pitchFamily="49" charset="-128"/>
                <a:ea typeface="ＭＳ ゴシック" panose="020B0609070205080204" pitchFamily="49" charset="-128"/>
                <a:cs typeface="+mn-cs"/>
              </a:rPr>
              <a:t>STEP</a:t>
            </a:r>
            <a:r>
              <a:rPr kumimoji="1" lang="ja-JP" altLang="ja-JP" sz="3200" b="1">
                <a:solidFill>
                  <a:schemeClr val="tx1"/>
                </a:solidFill>
                <a:effectLst/>
                <a:latin typeface="ＭＳ ゴシック" panose="020B0609070205080204" pitchFamily="49" charset="-128"/>
                <a:ea typeface="ＭＳ ゴシック" panose="020B0609070205080204" pitchFamily="49" charset="-128"/>
                <a:cs typeface="+mn-cs"/>
              </a:rPr>
              <a:t>５　フォローアップ支援</a:t>
            </a:r>
            <a:endParaRPr lang="ja-JP" altLang="ja-JP" sz="3200">
              <a:solidFill>
                <a:schemeClr val="tx1"/>
              </a:solidFill>
              <a:effectLst/>
              <a:latin typeface="ＭＳ ゴシック" panose="020B0609070205080204" pitchFamily="49" charset="-128"/>
              <a:ea typeface="ＭＳ ゴシック" panose="020B0609070205080204" pitchFamily="49" charset="-128"/>
            </a:endParaRPr>
          </a:p>
          <a:p>
            <a:pPr algn="l"/>
            <a:endParaRPr kumimoji="1" lang="ja-JP" altLang="en-US" sz="1100"/>
          </a:p>
        </xdr:txBody>
      </xdr:sp>
      <xdr:sp macro="" textlink="">
        <xdr:nvSpPr>
          <xdr:cNvPr id="5" name="正方形/長方形 4">
            <a:extLst>
              <a:ext uri="{FF2B5EF4-FFF2-40B4-BE49-F238E27FC236}">
                <a16:creationId xmlns:a16="http://schemas.microsoft.com/office/drawing/2014/main" id="{00000000-0008-0000-0F00-000005000000}"/>
              </a:ext>
            </a:extLst>
          </xdr:cNvPr>
          <xdr:cNvSpPr/>
        </xdr:nvSpPr>
        <xdr:spPr>
          <a:xfrm>
            <a:off x="27034834" y="22134045"/>
            <a:ext cx="9780147" cy="742155"/>
          </a:xfrm>
          <a:prstGeom prst="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ctr" anchorCtr="1"/>
          <a:lstStyle/>
          <a:p>
            <a:pPr marL="0" marR="0" lvl="0" indent="0" algn="l" defTabSz="914400" rtl="0" eaLnBrk="1" fontAlgn="auto" latinLnBrk="0" hangingPunct="1">
              <a:lnSpc>
                <a:spcPct val="100000"/>
              </a:lnSpc>
              <a:spcBef>
                <a:spcPts val="0"/>
              </a:spcBef>
              <a:spcAft>
                <a:spcPts val="0"/>
              </a:spcAft>
              <a:buClrTx/>
              <a:buSzTx/>
              <a:buFontTx/>
              <a:buNone/>
              <a:tabLst/>
              <a:defRPr/>
            </a:pPr>
            <a:r>
              <a:rPr lang="ja-JP" altLang="en-US" sz="2400" b="1">
                <a:effectLst/>
                <a:latin typeface="ＭＳ ゴシック" panose="020B0609070205080204" pitchFamily="49" charset="-128"/>
                <a:ea typeface="ＭＳ ゴシック" panose="020B0609070205080204" pitchFamily="49" charset="-128"/>
              </a:rPr>
              <a:t>事業承継後の経営の安定に向けてサポート</a:t>
            </a:r>
            <a:endParaRPr lang="ja-JP" altLang="ja-JP" sz="2400" b="1">
              <a:effectLst/>
              <a:latin typeface="ＭＳ ゴシック" panose="020B0609070205080204" pitchFamily="49" charset="-128"/>
              <a:ea typeface="ＭＳ ゴシック" panose="020B0609070205080204" pitchFamily="49" charset="-128"/>
            </a:endParaRPr>
          </a:p>
        </xdr:txBody>
      </xdr:sp>
    </xdr:grpSp>
    <xdr:clientData/>
  </xdr:twoCellAnchor>
  <xdr:twoCellAnchor>
    <xdr:from>
      <xdr:col>10</xdr:col>
      <xdr:colOff>1259976</xdr:colOff>
      <xdr:row>27</xdr:row>
      <xdr:rowOff>391668</xdr:rowOff>
    </xdr:from>
    <xdr:to>
      <xdr:col>16</xdr:col>
      <xdr:colOff>1726938</xdr:colOff>
      <xdr:row>34</xdr:row>
      <xdr:rowOff>70702</xdr:rowOff>
    </xdr:to>
    <xdr:grpSp>
      <xdr:nvGrpSpPr>
        <xdr:cNvPr id="6" name="グループ化 5">
          <a:extLst>
            <a:ext uri="{FF2B5EF4-FFF2-40B4-BE49-F238E27FC236}">
              <a16:creationId xmlns:a16="http://schemas.microsoft.com/office/drawing/2014/main" id="{00000000-0008-0000-0F00-000006000000}"/>
            </a:ext>
          </a:extLst>
        </xdr:cNvPr>
        <xdr:cNvGrpSpPr/>
      </xdr:nvGrpSpPr>
      <xdr:grpSpPr>
        <a:xfrm>
          <a:off x="22214976" y="17727168"/>
          <a:ext cx="15325962" cy="5013034"/>
          <a:chOff x="21381422" y="17147768"/>
          <a:chExt cx="15381718" cy="5040912"/>
        </a:xfrm>
      </xdr:grpSpPr>
      <xdr:grpSp>
        <xdr:nvGrpSpPr>
          <xdr:cNvPr id="7" name="グループ化 6">
            <a:extLst>
              <a:ext uri="{FF2B5EF4-FFF2-40B4-BE49-F238E27FC236}">
                <a16:creationId xmlns:a16="http://schemas.microsoft.com/office/drawing/2014/main" id="{00000000-0008-0000-0F00-000007000000}"/>
              </a:ext>
            </a:extLst>
          </xdr:cNvPr>
          <xdr:cNvGrpSpPr/>
        </xdr:nvGrpSpPr>
        <xdr:grpSpPr>
          <a:xfrm>
            <a:off x="21411796" y="18554068"/>
            <a:ext cx="15349174" cy="762517"/>
            <a:chOff x="21402968" y="22138223"/>
            <a:chExt cx="15412013" cy="758037"/>
          </a:xfrm>
        </xdr:grpSpPr>
        <xdr:sp macro="" textlink="">
          <xdr:nvSpPr>
            <xdr:cNvPr id="20" name="正方形/長方形 19">
              <a:extLst>
                <a:ext uri="{FF2B5EF4-FFF2-40B4-BE49-F238E27FC236}">
                  <a16:creationId xmlns:a16="http://schemas.microsoft.com/office/drawing/2014/main" id="{00000000-0008-0000-0F00-000014000000}"/>
                </a:ext>
              </a:extLst>
            </xdr:cNvPr>
            <xdr:cNvSpPr/>
          </xdr:nvSpPr>
          <xdr:spPr>
            <a:xfrm>
              <a:off x="21402968" y="22138223"/>
              <a:ext cx="5626101" cy="74215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marR="0" lvl="0" indent="0" algn="l" defTabSz="914400" rtl="0" eaLnBrk="1" fontAlgn="auto" latinLnBrk="0" hangingPunct="1">
                <a:lnSpc>
                  <a:spcPct val="100000"/>
                </a:lnSpc>
                <a:spcBef>
                  <a:spcPts val="0"/>
                </a:spcBef>
                <a:spcAft>
                  <a:spcPts val="0"/>
                </a:spcAft>
                <a:buClrTx/>
                <a:buSzTx/>
                <a:buFontTx/>
                <a:buNone/>
                <a:tabLst/>
                <a:defRPr/>
              </a:pPr>
              <a:r>
                <a:rPr kumimoji="1" lang="en-US" altLang="ja-JP" sz="3200" b="1">
                  <a:solidFill>
                    <a:schemeClr val="tx1"/>
                  </a:solidFill>
                  <a:effectLst/>
                  <a:latin typeface="ＭＳ ゴシック" panose="020B0609070205080204" pitchFamily="49" charset="-128"/>
                  <a:ea typeface="ＭＳ ゴシック" panose="020B0609070205080204" pitchFamily="49" charset="-128"/>
                  <a:cs typeface="+mn-cs"/>
                </a:rPr>
                <a:t>STEP</a:t>
              </a:r>
              <a:r>
                <a:rPr kumimoji="1" lang="ja-JP" altLang="en-US" sz="3200" b="1">
                  <a:solidFill>
                    <a:schemeClr val="tx1"/>
                  </a:solidFill>
                  <a:effectLst/>
                  <a:latin typeface="ＭＳ ゴシック" panose="020B0609070205080204" pitchFamily="49" charset="-128"/>
                  <a:ea typeface="ＭＳ ゴシック" panose="020B0609070205080204" pitchFamily="49" charset="-128"/>
                  <a:cs typeface="+mn-cs"/>
                </a:rPr>
                <a:t>２</a:t>
              </a:r>
              <a:r>
                <a:rPr kumimoji="1" lang="ja-JP" altLang="ja-JP" sz="3200" b="1">
                  <a:solidFill>
                    <a:schemeClr val="tx1"/>
                  </a:solidFill>
                  <a:effectLst/>
                  <a:latin typeface="ＭＳ ゴシック" panose="020B0609070205080204" pitchFamily="49" charset="-128"/>
                  <a:ea typeface="ＭＳ ゴシック" panose="020B0609070205080204" pitchFamily="49" charset="-128"/>
                  <a:cs typeface="+mn-cs"/>
                </a:rPr>
                <a:t>　</a:t>
              </a:r>
              <a:r>
                <a:rPr kumimoji="1" lang="ja-JP" altLang="en-US" sz="3200" b="1">
                  <a:solidFill>
                    <a:schemeClr val="tx1"/>
                  </a:solidFill>
                  <a:effectLst/>
                  <a:latin typeface="ＭＳ ゴシック" panose="020B0609070205080204" pitchFamily="49" charset="-128"/>
                  <a:ea typeface="ＭＳ ゴシック" panose="020B0609070205080204" pitchFamily="49" charset="-128"/>
                  <a:cs typeface="+mn-cs"/>
                </a:rPr>
                <a:t>マッチング支援</a:t>
              </a:r>
              <a:endParaRPr lang="ja-JP" altLang="ja-JP" sz="3200">
                <a:solidFill>
                  <a:schemeClr val="tx1"/>
                </a:solidFill>
                <a:effectLst/>
                <a:latin typeface="ＭＳ ゴシック" panose="020B0609070205080204" pitchFamily="49" charset="-128"/>
                <a:ea typeface="ＭＳ ゴシック" panose="020B0609070205080204" pitchFamily="49" charset="-128"/>
              </a:endParaRPr>
            </a:p>
          </xdr:txBody>
        </xdr:sp>
        <xdr:sp macro="" textlink="">
          <xdr:nvSpPr>
            <xdr:cNvPr id="21" name="正方形/長方形 20">
              <a:extLst>
                <a:ext uri="{FF2B5EF4-FFF2-40B4-BE49-F238E27FC236}">
                  <a16:creationId xmlns:a16="http://schemas.microsoft.com/office/drawing/2014/main" id="{00000000-0008-0000-0F00-000015000000}"/>
                </a:ext>
              </a:extLst>
            </xdr:cNvPr>
            <xdr:cNvSpPr/>
          </xdr:nvSpPr>
          <xdr:spPr>
            <a:xfrm>
              <a:off x="27034834" y="22154105"/>
              <a:ext cx="9780147" cy="742155"/>
            </a:xfrm>
            <a:prstGeom prst="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ctr" anchorCtr="1"/>
            <a:lstStyle/>
            <a:p>
              <a:pPr marL="0" marR="0" lvl="0" indent="0" algn="l" defTabSz="914400" rtl="0" eaLnBrk="1" fontAlgn="auto" latinLnBrk="0" hangingPunct="1">
                <a:lnSpc>
                  <a:spcPct val="100000"/>
                </a:lnSpc>
                <a:spcBef>
                  <a:spcPts val="0"/>
                </a:spcBef>
                <a:spcAft>
                  <a:spcPts val="0"/>
                </a:spcAft>
                <a:buClrTx/>
                <a:buSzTx/>
                <a:buFontTx/>
                <a:buNone/>
                <a:tabLst/>
                <a:defRPr/>
              </a:pPr>
              <a:r>
                <a:rPr lang="ja-JP" altLang="en-US" sz="2400" b="1">
                  <a:effectLst/>
                  <a:latin typeface="ＭＳ ゴシック" panose="020B0609070205080204" pitchFamily="49" charset="-128"/>
                  <a:ea typeface="ＭＳ ゴシック" panose="020B0609070205080204" pitchFamily="49" charset="-128"/>
                </a:rPr>
                <a:t>栃木県事業引継ぎ支援センター等による承継候補先の選定及び支援</a:t>
              </a:r>
              <a:endParaRPr lang="ja-JP" altLang="ja-JP" sz="2400" b="1">
                <a:effectLst/>
                <a:latin typeface="ＭＳ ゴシック" panose="020B0609070205080204" pitchFamily="49" charset="-128"/>
                <a:ea typeface="ＭＳ ゴシック" panose="020B0609070205080204" pitchFamily="49" charset="-128"/>
              </a:endParaRPr>
            </a:p>
          </xdr:txBody>
        </xdr:sp>
      </xdr:grpSp>
      <xdr:grpSp>
        <xdr:nvGrpSpPr>
          <xdr:cNvPr id="8" name="グループ化 7">
            <a:extLst>
              <a:ext uri="{FF2B5EF4-FFF2-40B4-BE49-F238E27FC236}">
                <a16:creationId xmlns:a16="http://schemas.microsoft.com/office/drawing/2014/main" id="{00000000-0008-0000-0F00-000008000000}"/>
              </a:ext>
            </a:extLst>
          </xdr:cNvPr>
          <xdr:cNvGrpSpPr/>
        </xdr:nvGrpSpPr>
        <xdr:grpSpPr>
          <a:xfrm>
            <a:off x="21413966" y="17147768"/>
            <a:ext cx="15349174" cy="762517"/>
            <a:chOff x="21402968" y="22138223"/>
            <a:chExt cx="15412013" cy="758036"/>
          </a:xfrm>
        </xdr:grpSpPr>
        <xdr:sp macro="" textlink="">
          <xdr:nvSpPr>
            <xdr:cNvPr id="18" name="正方形/長方形 17">
              <a:extLst>
                <a:ext uri="{FF2B5EF4-FFF2-40B4-BE49-F238E27FC236}">
                  <a16:creationId xmlns:a16="http://schemas.microsoft.com/office/drawing/2014/main" id="{00000000-0008-0000-0F00-000012000000}"/>
                </a:ext>
              </a:extLst>
            </xdr:cNvPr>
            <xdr:cNvSpPr/>
          </xdr:nvSpPr>
          <xdr:spPr>
            <a:xfrm>
              <a:off x="21402968" y="22138223"/>
              <a:ext cx="5626101" cy="74215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marR="0" lvl="0" indent="0" algn="l" defTabSz="914400" rtl="0" eaLnBrk="1" fontAlgn="auto" latinLnBrk="0" hangingPunct="1">
                <a:lnSpc>
                  <a:spcPct val="100000"/>
                </a:lnSpc>
                <a:spcBef>
                  <a:spcPts val="0"/>
                </a:spcBef>
                <a:spcAft>
                  <a:spcPts val="0"/>
                </a:spcAft>
                <a:buClrTx/>
                <a:buSzTx/>
                <a:buFontTx/>
                <a:buNone/>
                <a:tabLst/>
                <a:defRPr/>
              </a:pPr>
              <a:r>
                <a:rPr kumimoji="1" lang="en-US" altLang="ja-JP" sz="3200" b="1">
                  <a:solidFill>
                    <a:schemeClr val="tx1"/>
                  </a:solidFill>
                  <a:effectLst/>
                  <a:latin typeface="ＭＳ ゴシック" panose="020B0609070205080204" pitchFamily="49" charset="-128"/>
                  <a:ea typeface="ＭＳ ゴシック" panose="020B0609070205080204" pitchFamily="49" charset="-128"/>
                  <a:cs typeface="+mn-cs"/>
                </a:rPr>
                <a:t>STEP</a:t>
              </a:r>
              <a:r>
                <a:rPr kumimoji="1" lang="ja-JP" altLang="en-US" sz="3200" b="1">
                  <a:solidFill>
                    <a:schemeClr val="tx1"/>
                  </a:solidFill>
                  <a:effectLst/>
                  <a:latin typeface="ＭＳ ゴシック" panose="020B0609070205080204" pitchFamily="49" charset="-128"/>
                  <a:ea typeface="ＭＳ ゴシック" panose="020B0609070205080204" pitchFamily="49" charset="-128"/>
                  <a:cs typeface="+mn-cs"/>
                </a:rPr>
                <a:t>１</a:t>
              </a:r>
              <a:r>
                <a:rPr kumimoji="1" lang="ja-JP" altLang="ja-JP" sz="3200" b="1">
                  <a:solidFill>
                    <a:schemeClr val="tx1"/>
                  </a:solidFill>
                  <a:effectLst/>
                  <a:latin typeface="ＭＳ ゴシック" panose="020B0609070205080204" pitchFamily="49" charset="-128"/>
                  <a:ea typeface="ＭＳ ゴシック" panose="020B0609070205080204" pitchFamily="49" charset="-128"/>
                  <a:cs typeface="+mn-cs"/>
                </a:rPr>
                <a:t>　</a:t>
              </a:r>
              <a:r>
                <a:rPr kumimoji="1" lang="ja-JP" altLang="en-US" sz="3200" b="1">
                  <a:solidFill>
                    <a:schemeClr val="tx1"/>
                  </a:solidFill>
                  <a:effectLst/>
                  <a:latin typeface="ＭＳ ゴシック" panose="020B0609070205080204" pitchFamily="49" charset="-128"/>
                  <a:ea typeface="ＭＳ ゴシック" panose="020B0609070205080204" pitchFamily="49" charset="-128"/>
                  <a:cs typeface="+mn-cs"/>
                </a:rPr>
                <a:t>相談受付</a:t>
              </a:r>
              <a:endParaRPr lang="ja-JP" altLang="ja-JP" sz="3200">
                <a:solidFill>
                  <a:schemeClr val="tx1"/>
                </a:solidFill>
                <a:effectLst/>
                <a:latin typeface="ＭＳ ゴシック" panose="020B0609070205080204" pitchFamily="49" charset="-128"/>
                <a:ea typeface="ＭＳ ゴシック" panose="020B0609070205080204" pitchFamily="49" charset="-128"/>
              </a:endParaRPr>
            </a:p>
            <a:p>
              <a:pPr algn="l"/>
              <a:endParaRPr kumimoji="1" lang="ja-JP" altLang="en-US" sz="1100"/>
            </a:p>
          </xdr:txBody>
        </xdr:sp>
        <xdr:sp macro="" textlink="">
          <xdr:nvSpPr>
            <xdr:cNvPr id="19" name="正方形/長方形 18">
              <a:extLst>
                <a:ext uri="{FF2B5EF4-FFF2-40B4-BE49-F238E27FC236}">
                  <a16:creationId xmlns:a16="http://schemas.microsoft.com/office/drawing/2014/main" id="{00000000-0008-0000-0F00-000013000000}"/>
                </a:ext>
              </a:extLst>
            </xdr:cNvPr>
            <xdr:cNvSpPr/>
          </xdr:nvSpPr>
          <xdr:spPr>
            <a:xfrm>
              <a:off x="27034834" y="22154104"/>
              <a:ext cx="9780147" cy="742155"/>
            </a:xfrm>
            <a:prstGeom prst="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ctr" anchorCtr="1"/>
            <a:lstStyle/>
            <a:p>
              <a:pPr marL="0" marR="0" lvl="0" indent="0" algn="l" defTabSz="914400" rtl="0" eaLnBrk="1" fontAlgn="auto" latinLnBrk="0" hangingPunct="1">
                <a:lnSpc>
                  <a:spcPct val="100000"/>
                </a:lnSpc>
                <a:spcBef>
                  <a:spcPts val="0"/>
                </a:spcBef>
                <a:spcAft>
                  <a:spcPts val="0"/>
                </a:spcAft>
                <a:buClrTx/>
                <a:buSzTx/>
                <a:buFontTx/>
                <a:buNone/>
                <a:tabLst/>
                <a:defRPr/>
              </a:pPr>
              <a:r>
                <a:rPr lang="ja-JP" altLang="en-US" sz="2400" b="1">
                  <a:effectLst/>
                  <a:latin typeface="ＭＳ ゴシック" panose="020B0609070205080204" pitchFamily="49" charset="-128"/>
                  <a:ea typeface="ＭＳ ゴシック" panose="020B0609070205080204" pitchFamily="49" charset="-128"/>
                </a:rPr>
                <a:t>事業承継に係る相談や希望を確認</a:t>
              </a:r>
              <a:endParaRPr lang="ja-JP" altLang="ja-JP" sz="2400" b="1">
                <a:effectLst/>
                <a:latin typeface="ＭＳ ゴシック" panose="020B0609070205080204" pitchFamily="49" charset="-128"/>
                <a:ea typeface="ＭＳ ゴシック" panose="020B0609070205080204" pitchFamily="49" charset="-128"/>
              </a:endParaRPr>
            </a:p>
          </xdr:txBody>
        </xdr:sp>
      </xdr:grpSp>
      <xdr:grpSp>
        <xdr:nvGrpSpPr>
          <xdr:cNvPr id="9" name="グループ化 8">
            <a:extLst>
              <a:ext uri="{FF2B5EF4-FFF2-40B4-BE49-F238E27FC236}">
                <a16:creationId xmlns:a16="http://schemas.microsoft.com/office/drawing/2014/main" id="{00000000-0008-0000-0F00-000009000000}"/>
              </a:ext>
            </a:extLst>
          </xdr:cNvPr>
          <xdr:cNvGrpSpPr/>
        </xdr:nvGrpSpPr>
        <xdr:grpSpPr>
          <a:xfrm>
            <a:off x="21387772" y="20001465"/>
            <a:ext cx="15349174" cy="750938"/>
            <a:chOff x="21402968" y="22134045"/>
            <a:chExt cx="15412013" cy="746333"/>
          </a:xfrm>
        </xdr:grpSpPr>
        <xdr:sp macro="" textlink="">
          <xdr:nvSpPr>
            <xdr:cNvPr id="16" name="正方形/長方形 15">
              <a:extLst>
                <a:ext uri="{FF2B5EF4-FFF2-40B4-BE49-F238E27FC236}">
                  <a16:creationId xmlns:a16="http://schemas.microsoft.com/office/drawing/2014/main" id="{00000000-0008-0000-0F00-000010000000}"/>
                </a:ext>
              </a:extLst>
            </xdr:cNvPr>
            <xdr:cNvSpPr/>
          </xdr:nvSpPr>
          <xdr:spPr>
            <a:xfrm>
              <a:off x="21402968" y="22138223"/>
              <a:ext cx="5626101" cy="74215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marR="0" lvl="0" indent="0" algn="l" defTabSz="914400" rtl="0" eaLnBrk="1" fontAlgn="auto" latinLnBrk="0" hangingPunct="1">
                <a:lnSpc>
                  <a:spcPct val="100000"/>
                </a:lnSpc>
                <a:spcBef>
                  <a:spcPts val="0"/>
                </a:spcBef>
                <a:spcAft>
                  <a:spcPts val="0"/>
                </a:spcAft>
                <a:buClrTx/>
                <a:buSzTx/>
                <a:buFontTx/>
                <a:buNone/>
                <a:tabLst/>
                <a:defRPr/>
              </a:pPr>
              <a:r>
                <a:rPr kumimoji="1" lang="en-US" altLang="ja-JP" sz="3200" b="1">
                  <a:solidFill>
                    <a:schemeClr val="tx1"/>
                  </a:solidFill>
                  <a:effectLst/>
                  <a:latin typeface="ＭＳ ゴシック" panose="020B0609070205080204" pitchFamily="49" charset="-128"/>
                  <a:ea typeface="ＭＳ ゴシック" panose="020B0609070205080204" pitchFamily="49" charset="-128"/>
                  <a:cs typeface="+mn-cs"/>
                </a:rPr>
                <a:t>STEP</a:t>
              </a:r>
              <a:r>
                <a:rPr kumimoji="1" lang="ja-JP" altLang="en-US" sz="3200" b="1">
                  <a:solidFill>
                    <a:schemeClr val="tx1"/>
                  </a:solidFill>
                  <a:effectLst/>
                  <a:latin typeface="ＭＳ ゴシック" panose="020B0609070205080204" pitchFamily="49" charset="-128"/>
                  <a:ea typeface="ＭＳ ゴシック" panose="020B0609070205080204" pitchFamily="49" charset="-128"/>
                  <a:cs typeface="+mn-cs"/>
                </a:rPr>
                <a:t>３</a:t>
              </a:r>
              <a:r>
                <a:rPr kumimoji="1" lang="ja-JP" altLang="ja-JP" sz="3200" b="1">
                  <a:solidFill>
                    <a:schemeClr val="tx1"/>
                  </a:solidFill>
                  <a:effectLst/>
                  <a:latin typeface="ＭＳ ゴシック" panose="020B0609070205080204" pitchFamily="49" charset="-128"/>
                  <a:ea typeface="ＭＳ ゴシック" panose="020B0609070205080204" pitchFamily="49" charset="-128"/>
                  <a:cs typeface="+mn-cs"/>
                </a:rPr>
                <a:t>　</a:t>
              </a:r>
              <a:r>
                <a:rPr kumimoji="1" lang="ja-JP" altLang="en-US" sz="3200" b="1">
                  <a:solidFill>
                    <a:schemeClr val="tx1"/>
                  </a:solidFill>
                  <a:effectLst/>
                  <a:latin typeface="ＭＳ ゴシック" panose="020B0609070205080204" pitchFamily="49" charset="-128"/>
                  <a:ea typeface="ＭＳ ゴシック" panose="020B0609070205080204" pitchFamily="49" charset="-128"/>
                  <a:cs typeface="+mn-cs"/>
                </a:rPr>
                <a:t>計画策定支援</a:t>
              </a:r>
              <a:endParaRPr lang="ja-JP" altLang="ja-JP" sz="3200">
                <a:solidFill>
                  <a:schemeClr val="tx1"/>
                </a:solidFill>
                <a:effectLst/>
                <a:latin typeface="ＭＳ ゴシック" panose="020B0609070205080204" pitchFamily="49" charset="-128"/>
                <a:ea typeface="ＭＳ ゴシック" panose="020B0609070205080204" pitchFamily="49" charset="-128"/>
              </a:endParaRPr>
            </a:p>
            <a:p>
              <a:pPr algn="l"/>
              <a:endParaRPr kumimoji="1" lang="ja-JP" altLang="en-US" sz="1100"/>
            </a:p>
          </xdr:txBody>
        </xdr:sp>
        <xdr:sp macro="" textlink="">
          <xdr:nvSpPr>
            <xdr:cNvPr id="17" name="正方形/長方形 16">
              <a:extLst>
                <a:ext uri="{FF2B5EF4-FFF2-40B4-BE49-F238E27FC236}">
                  <a16:creationId xmlns:a16="http://schemas.microsoft.com/office/drawing/2014/main" id="{00000000-0008-0000-0F00-000011000000}"/>
                </a:ext>
              </a:extLst>
            </xdr:cNvPr>
            <xdr:cNvSpPr/>
          </xdr:nvSpPr>
          <xdr:spPr>
            <a:xfrm>
              <a:off x="27034834" y="22134045"/>
              <a:ext cx="9780147" cy="742155"/>
            </a:xfrm>
            <a:prstGeom prst="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ctr" anchorCtr="1"/>
            <a:lstStyle/>
            <a:p>
              <a:pPr marL="0" marR="0" lvl="0" indent="0" algn="l" defTabSz="914400" rtl="0" eaLnBrk="1" fontAlgn="auto" latinLnBrk="0" hangingPunct="1">
                <a:lnSpc>
                  <a:spcPct val="100000"/>
                </a:lnSpc>
                <a:spcBef>
                  <a:spcPts val="0"/>
                </a:spcBef>
                <a:spcAft>
                  <a:spcPts val="0"/>
                </a:spcAft>
                <a:buClrTx/>
                <a:buSzTx/>
                <a:buFontTx/>
                <a:buNone/>
                <a:tabLst/>
                <a:defRPr/>
              </a:pPr>
              <a:r>
                <a:rPr kumimoji="1" lang="ja-JP" altLang="en-US" sz="2400" b="1">
                  <a:solidFill>
                    <a:schemeClr val="dk1"/>
                  </a:solidFill>
                  <a:effectLst/>
                  <a:latin typeface="ＭＳ ゴシック" panose="020B0609070205080204" pitchFamily="49" charset="-128"/>
                  <a:ea typeface="ＭＳ ゴシック" panose="020B0609070205080204" pitchFamily="49" charset="-128"/>
                  <a:cs typeface="+mn-cs"/>
                </a:rPr>
                <a:t>事業承継計画の策定支援（事業承継サポート事業）</a:t>
              </a:r>
              <a:endParaRPr lang="ja-JP" altLang="ja-JP" sz="2400">
                <a:effectLst/>
                <a:latin typeface="ＭＳ ゴシック" panose="020B0609070205080204" pitchFamily="49" charset="-128"/>
                <a:ea typeface="ＭＳ ゴシック" panose="020B0609070205080204" pitchFamily="49" charset="-128"/>
              </a:endParaRPr>
            </a:p>
          </xdr:txBody>
        </xdr:sp>
      </xdr:grpSp>
      <xdr:grpSp>
        <xdr:nvGrpSpPr>
          <xdr:cNvPr id="10" name="グループ化 9">
            <a:extLst>
              <a:ext uri="{FF2B5EF4-FFF2-40B4-BE49-F238E27FC236}">
                <a16:creationId xmlns:a16="http://schemas.microsoft.com/office/drawing/2014/main" id="{00000000-0008-0000-0F00-00000A000000}"/>
              </a:ext>
            </a:extLst>
          </xdr:cNvPr>
          <xdr:cNvGrpSpPr/>
        </xdr:nvGrpSpPr>
        <xdr:grpSpPr>
          <a:xfrm>
            <a:off x="21381422" y="21437739"/>
            <a:ext cx="15349175" cy="750941"/>
            <a:chOff x="21402968" y="22134045"/>
            <a:chExt cx="15412014" cy="746333"/>
          </a:xfrm>
        </xdr:grpSpPr>
        <xdr:sp macro="" textlink="">
          <xdr:nvSpPr>
            <xdr:cNvPr id="14" name="正方形/長方形 13">
              <a:extLst>
                <a:ext uri="{FF2B5EF4-FFF2-40B4-BE49-F238E27FC236}">
                  <a16:creationId xmlns:a16="http://schemas.microsoft.com/office/drawing/2014/main" id="{00000000-0008-0000-0F00-00000E000000}"/>
                </a:ext>
              </a:extLst>
            </xdr:cNvPr>
            <xdr:cNvSpPr/>
          </xdr:nvSpPr>
          <xdr:spPr>
            <a:xfrm>
              <a:off x="21402968" y="22138223"/>
              <a:ext cx="5626101" cy="74215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marR="0" lvl="0" indent="0" algn="l" defTabSz="914400" rtl="0" eaLnBrk="1" fontAlgn="auto" latinLnBrk="0" hangingPunct="1">
                <a:lnSpc>
                  <a:spcPct val="100000"/>
                </a:lnSpc>
                <a:spcBef>
                  <a:spcPts val="0"/>
                </a:spcBef>
                <a:spcAft>
                  <a:spcPts val="0"/>
                </a:spcAft>
                <a:buClrTx/>
                <a:buSzTx/>
                <a:buFontTx/>
                <a:buNone/>
                <a:tabLst/>
                <a:defRPr/>
              </a:pPr>
              <a:r>
                <a:rPr kumimoji="1" lang="en-US" altLang="ja-JP" sz="3200" b="1">
                  <a:solidFill>
                    <a:schemeClr val="tx1"/>
                  </a:solidFill>
                  <a:effectLst/>
                  <a:latin typeface="ＭＳ ゴシック" panose="020B0609070205080204" pitchFamily="49" charset="-128"/>
                  <a:ea typeface="ＭＳ ゴシック" panose="020B0609070205080204" pitchFamily="49" charset="-128"/>
                  <a:cs typeface="+mn-cs"/>
                </a:rPr>
                <a:t>STEP</a:t>
              </a:r>
              <a:r>
                <a:rPr kumimoji="1" lang="ja-JP" altLang="en-US" sz="3200" b="1">
                  <a:solidFill>
                    <a:schemeClr val="tx1"/>
                  </a:solidFill>
                  <a:effectLst/>
                  <a:latin typeface="ＭＳ ゴシック" panose="020B0609070205080204" pitchFamily="49" charset="-128"/>
                  <a:ea typeface="ＭＳ ゴシック" panose="020B0609070205080204" pitchFamily="49" charset="-128"/>
                  <a:cs typeface="+mn-cs"/>
                </a:rPr>
                <a:t>４</a:t>
              </a:r>
              <a:r>
                <a:rPr kumimoji="1" lang="ja-JP" altLang="ja-JP" sz="3200" b="1">
                  <a:solidFill>
                    <a:schemeClr val="tx1"/>
                  </a:solidFill>
                  <a:effectLst/>
                  <a:latin typeface="ＭＳ ゴシック" panose="020B0609070205080204" pitchFamily="49" charset="-128"/>
                  <a:ea typeface="ＭＳ ゴシック" panose="020B0609070205080204" pitchFamily="49" charset="-128"/>
                  <a:cs typeface="+mn-cs"/>
                </a:rPr>
                <a:t>　</a:t>
              </a:r>
              <a:r>
                <a:rPr kumimoji="1" lang="ja-JP" altLang="en-US" sz="3200" b="1">
                  <a:solidFill>
                    <a:schemeClr val="tx1"/>
                  </a:solidFill>
                  <a:effectLst/>
                  <a:latin typeface="ＭＳ ゴシック" panose="020B0609070205080204" pitchFamily="49" charset="-128"/>
                  <a:ea typeface="ＭＳ ゴシック" panose="020B0609070205080204" pitchFamily="49" charset="-128"/>
                  <a:cs typeface="+mn-cs"/>
                </a:rPr>
                <a:t>資金調達支援</a:t>
              </a:r>
              <a:endParaRPr lang="ja-JP" altLang="ja-JP" sz="3200">
                <a:solidFill>
                  <a:schemeClr val="tx1"/>
                </a:solidFill>
                <a:effectLst/>
                <a:latin typeface="ＭＳ ゴシック" panose="020B0609070205080204" pitchFamily="49" charset="-128"/>
                <a:ea typeface="ＭＳ ゴシック" panose="020B0609070205080204" pitchFamily="49" charset="-128"/>
              </a:endParaRPr>
            </a:p>
            <a:p>
              <a:pPr algn="l"/>
              <a:endParaRPr kumimoji="1" lang="ja-JP" altLang="en-US" sz="1100"/>
            </a:p>
          </xdr:txBody>
        </xdr:sp>
        <xdr:sp macro="" textlink="">
          <xdr:nvSpPr>
            <xdr:cNvPr id="15" name="正方形/長方形 14">
              <a:extLst>
                <a:ext uri="{FF2B5EF4-FFF2-40B4-BE49-F238E27FC236}">
                  <a16:creationId xmlns:a16="http://schemas.microsoft.com/office/drawing/2014/main" id="{00000000-0008-0000-0F00-00000F000000}"/>
                </a:ext>
              </a:extLst>
            </xdr:cNvPr>
            <xdr:cNvSpPr/>
          </xdr:nvSpPr>
          <xdr:spPr>
            <a:xfrm>
              <a:off x="27034835" y="22134045"/>
              <a:ext cx="9780147" cy="742155"/>
            </a:xfrm>
            <a:prstGeom prst="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ctr" anchorCtr="1"/>
            <a:lstStyle/>
            <a:p>
              <a:pPr marL="0" marR="0" lvl="0" indent="0" algn="l" defTabSz="914400" rtl="0" eaLnBrk="1" fontAlgn="auto" latinLnBrk="0" hangingPunct="1">
                <a:lnSpc>
                  <a:spcPct val="100000"/>
                </a:lnSpc>
                <a:spcBef>
                  <a:spcPts val="0"/>
                </a:spcBef>
                <a:spcAft>
                  <a:spcPts val="0"/>
                </a:spcAft>
                <a:buClrTx/>
                <a:buSzTx/>
                <a:buFontTx/>
                <a:buNone/>
                <a:tabLst/>
                <a:defRPr/>
              </a:pPr>
              <a:r>
                <a:rPr lang="ja-JP" altLang="en-US" sz="2400" b="1">
                  <a:effectLst/>
                  <a:latin typeface="ＭＳ ゴシック" panose="020B0609070205080204" pitchFamily="49" charset="-128"/>
                  <a:ea typeface="ＭＳ ゴシック" panose="020B0609070205080204" pitchFamily="49" charset="-128"/>
                </a:rPr>
                <a:t>「経営資源引継ぎサポート制度」など保証協会を活用した金融支援</a:t>
              </a:r>
              <a:endParaRPr lang="en-US" altLang="ja-JP" sz="2400" b="1">
                <a:effectLst/>
                <a:latin typeface="ＭＳ ゴシック" panose="020B0609070205080204" pitchFamily="49" charset="-128"/>
                <a:ea typeface="ＭＳ ゴシック" panose="020B0609070205080204" pitchFamily="49" charset="-128"/>
              </a:endParaRPr>
            </a:p>
          </xdr:txBody>
        </xdr:sp>
      </xdr:grpSp>
      <xdr:sp macro="" textlink="">
        <xdr:nvSpPr>
          <xdr:cNvPr id="11" name="矢印: 下 10">
            <a:extLst>
              <a:ext uri="{FF2B5EF4-FFF2-40B4-BE49-F238E27FC236}">
                <a16:creationId xmlns:a16="http://schemas.microsoft.com/office/drawing/2014/main" id="{00000000-0008-0000-0F00-00000B000000}"/>
              </a:ext>
            </a:extLst>
          </xdr:cNvPr>
          <xdr:cNvSpPr/>
        </xdr:nvSpPr>
        <xdr:spPr>
          <a:xfrm>
            <a:off x="31191955" y="17940202"/>
            <a:ext cx="1924844" cy="607896"/>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2" name="矢印: 下 11">
            <a:extLst>
              <a:ext uri="{FF2B5EF4-FFF2-40B4-BE49-F238E27FC236}">
                <a16:creationId xmlns:a16="http://schemas.microsoft.com/office/drawing/2014/main" id="{00000000-0008-0000-0F00-00000C000000}"/>
              </a:ext>
            </a:extLst>
          </xdr:cNvPr>
          <xdr:cNvSpPr/>
        </xdr:nvSpPr>
        <xdr:spPr>
          <a:xfrm>
            <a:off x="31189573" y="19351740"/>
            <a:ext cx="1924844" cy="607897"/>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3" name="矢印: 下 12">
            <a:extLst>
              <a:ext uri="{FF2B5EF4-FFF2-40B4-BE49-F238E27FC236}">
                <a16:creationId xmlns:a16="http://schemas.microsoft.com/office/drawing/2014/main" id="{00000000-0008-0000-0F00-00000D000000}"/>
              </a:ext>
            </a:extLst>
          </xdr:cNvPr>
          <xdr:cNvSpPr/>
        </xdr:nvSpPr>
        <xdr:spPr>
          <a:xfrm>
            <a:off x="31183221" y="20793206"/>
            <a:ext cx="1924844" cy="607896"/>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lientData/>
  </xdr:twoCellAnchor>
  <xdr:twoCellAnchor>
    <xdr:from>
      <xdr:col>14</xdr:col>
      <xdr:colOff>1101535</xdr:colOff>
      <xdr:row>34</xdr:row>
      <xdr:rowOff>158542</xdr:rowOff>
    </xdr:from>
    <xdr:to>
      <xdr:col>15</xdr:col>
      <xdr:colOff>540587</xdr:colOff>
      <xdr:row>34</xdr:row>
      <xdr:rowOff>761791</xdr:rowOff>
    </xdr:to>
    <xdr:sp macro="" textlink="">
      <xdr:nvSpPr>
        <xdr:cNvPr id="22" name="矢印: 下 21">
          <a:extLst>
            <a:ext uri="{FF2B5EF4-FFF2-40B4-BE49-F238E27FC236}">
              <a16:creationId xmlns:a16="http://schemas.microsoft.com/office/drawing/2014/main" id="{00000000-0008-0000-0F00-000016000000}"/>
            </a:ext>
          </a:extLst>
        </xdr:cNvPr>
        <xdr:cNvSpPr/>
      </xdr:nvSpPr>
      <xdr:spPr>
        <a:xfrm>
          <a:off x="31914910" y="22818517"/>
          <a:ext cx="1925077" cy="603249"/>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12</xdr:col>
      <xdr:colOff>1026746</xdr:colOff>
      <xdr:row>23</xdr:row>
      <xdr:rowOff>500672</xdr:rowOff>
    </xdr:from>
    <xdr:ext cx="6647974" cy="692562"/>
    <xdr:sp macro="" textlink="">
      <xdr:nvSpPr>
        <xdr:cNvPr id="23" name="テキスト ボックス 22">
          <a:extLst>
            <a:ext uri="{FF2B5EF4-FFF2-40B4-BE49-F238E27FC236}">
              <a16:creationId xmlns:a16="http://schemas.microsoft.com/office/drawing/2014/main" id="{00000000-0008-0000-0F00-000017000000}"/>
            </a:ext>
          </a:extLst>
        </xdr:cNvPr>
        <xdr:cNvSpPr txBox="1"/>
      </xdr:nvSpPr>
      <xdr:spPr>
        <a:xfrm>
          <a:off x="26868071" y="14778647"/>
          <a:ext cx="6647974" cy="69256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3600">
              <a:solidFill>
                <a:srgbClr val="0070C0"/>
              </a:solidFill>
              <a:latin typeface="ＭＳ ゴシック" panose="020B0609070205080204" pitchFamily="49" charset="-128"/>
              <a:ea typeface="ＭＳ ゴシック" panose="020B0609070205080204" pitchFamily="49" charset="-128"/>
            </a:rPr>
            <a:t>とちぎ経営資源引継ぎ支援事業</a:t>
          </a:r>
        </a:p>
      </xdr:txBody>
    </xdr:sp>
    <xdr:clientData/>
  </xdr:oneCellAnchor>
  <xdr:twoCellAnchor>
    <xdr:from>
      <xdr:col>13</xdr:col>
      <xdr:colOff>381000</xdr:colOff>
      <xdr:row>4</xdr:row>
      <xdr:rowOff>457200</xdr:rowOff>
    </xdr:from>
    <xdr:to>
      <xdr:col>16</xdr:col>
      <xdr:colOff>2343150</xdr:colOff>
      <xdr:row>10</xdr:row>
      <xdr:rowOff>0</xdr:rowOff>
    </xdr:to>
    <xdr:sp macro="" textlink="">
      <xdr:nvSpPr>
        <xdr:cNvPr id="24" name="吹き出し: 円形 23">
          <a:extLst>
            <a:ext uri="{FF2B5EF4-FFF2-40B4-BE49-F238E27FC236}">
              <a16:creationId xmlns:a16="http://schemas.microsoft.com/office/drawing/2014/main" id="{00000000-0008-0000-0F00-000018000000}"/>
            </a:ext>
          </a:extLst>
        </xdr:cNvPr>
        <xdr:cNvSpPr/>
      </xdr:nvSpPr>
      <xdr:spPr>
        <a:xfrm>
          <a:off x="28708350" y="2352675"/>
          <a:ext cx="9420225" cy="2971800"/>
        </a:xfrm>
        <a:prstGeom prst="wedgeEllipseCallout">
          <a:avLst/>
        </a:prstGeom>
        <a:noFill/>
        <a:ln>
          <a:solidFill>
            <a:sysClr val="windowText" lastClr="000000"/>
          </a:solidFill>
        </a:ln>
      </xdr:spPr>
      <xdr:style>
        <a:lnRef idx="1">
          <a:schemeClr val="accent1"/>
        </a:lnRef>
        <a:fillRef idx="2">
          <a:schemeClr val="accent1"/>
        </a:fillRef>
        <a:effectRef idx="1">
          <a:schemeClr val="accent1"/>
        </a:effectRef>
        <a:fontRef idx="minor">
          <a:schemeClr val="dk1"/>
        </a:fontRef>
      </xdr:style>
      <xdr:txBody>
        <a:bodyPr vertOverflow="clip" horzOverflow="clip" rtlCol="0" anchor="ctr"/>
        <a:lstStyle/>
        <a:p>
          <a:r>
            <a:rPr kumimoji="1" lang="ja-JP" altLang="ja-JP" sz="2800" b="1">
              <a:solidFill>
                <a:schemeClr val="tx1"/>
              </a:solidFill>
              <a:effectLst/>
              <a:latin typeface="ＭＳ ゴシック" panose="020B0609070205080204" pitchFamily="49" charset="-128"/>
              <a:ea typeface="ＭＳ ゴシック" panose="020B0609070205080204" pitchFamily="49" charset="-128"/>
              <a:cs typeface="+mn-cs"/>
            </a:rPr>
            <a:t>・収支状況を見直し資金繰りを改善させ</a:t>
          </a:r>
          <a:br>
            <a:rPr kumimoji="1" lang="en-US" altLang="ja-JP" sz="2800" b="1">
              <a:solidFill>
                <a:schemeClr val="tx1"/>
              </a:solidFill>
              <a:effectLst/>
              <a:latin typeface="ＭＳ ゴシック" panose="020B0609070205080204" pitchFamily="49" charset="-128"/>
              <a:ea typeface="ＭＳ ゴシック" panose="020B0609070205080204" pitchFamily="49" charset="-128"/>
              <a:cs typeface="+mn-cs"/>
            </a:rPr>
          </a:br>
          <a:r>
            <a:rPr kumimoji="1" lang="ja-JP" altLang="en-US" sz="2800" b="1">
              <a:solidFill>
                <a:schemeClr val="tx1"/>
              </a:solidFill>
              <a:effectLst/>
              <a:latin typeface="ＭＳ ゴシック" panose="020B0609070205080204" pitchFamily="49" charset="-128"/>
              <a:ea typeface="ＭＳ ゴシック" panose="020B0609070205080204" pitchFamily="49" charset="-128"/>
              <a:cs typeface="+mn-cs"/>
            </a:rPr>
            <a:t>　</a:t>
          </a:r>
          <a:r>
            <a:rPr kumimoji="1" lang="ja-JP" altLang="ja-JP" sz="2800" b="1">
              <a:solidFill>
                <a:schemeClr val="tx1"/>
              </a:solidFill>
              <a:effectLst/>
              <a:latin typeface="ＭＳ ゴシック" panose="020B0609070205080204" pitchFamily="49" charset="-128"/>
              <a:ea typeface="ＭＳ ゴシック" panose="020B0609070205080204" pitchFamily="49" charset="-128"/>
              <a:cs typeface="+mn-cs"/>
            </a:rPr>
            <a:t>たい</a:t>
          </a:r>
          <a:endParaRPr lang="ja-JP" altLang="ja-JP" sz="2800" b="1">
            <a:solidFill>
              <a:schemeClr val="tx1"/>
            </a:solidFill>
            <a:effectLst/>
            <a:latin typeface="ＭＳ ゴシック" panose="020B0609070205080204" pitchFamily="49" charset="-128"/>
            <a:ea typeface="ＭＳ ゴシック" panose="020B0609070205080204" pitchFamily="49" charset="-128"/>
          </a:endParaRPr>
        </a:p>
        <a:p>
          <a:r>
            <a:rPr kumimoji="1" lang="ja-JP" altLang="ja-JP" sz="2800" b="1">
              <a:solidFill>
                <a:schemeClr val="tx1"/>
              </a:solidFill>
              <a:effectLst/>
              <a:latin typeface="ＭＳ ゴシック" panose="020B0609070205080204" pitchFamily="49" charset="-128"/>
              <a:ea typeface="ＭＳ ゴシック" panose="020B0609070205080204" pitchFamily="49" charset="-128"/>
              <a:cs typeface="+mn-cs"/>
            </a:rPr>
            <a:t>・設備が老朽化しているため、生産性の</a:t>
          </a:r>
          <a:br>
            <a:rPr kumimoji="1" lang="en-US" altLang="ja-JP" sz="2800" b="1">
              <a:solidFill>
                <a:schemeClr val="tx1"/>
              </a:solidFill>
              <a:effectLst/>
              <a:latin typeface="ＭＳ ゴシック" panose="020B0609070205080204" pitchFamily="49" charset="-128"/>
              <a:ea typeface="ＭＳ ゴシック" panose="020B0609070205080204" pitchFamily="49" charset="-128"/>
              <a:cs typeface="+mn-cs"/>
            </a:rPr>
          </a:br>
          <a:r>
            <a:rPr kumimoji="1" lang="ja-JP" altLang="en-US" sz="2800" b="1">
              <a:solidFill>
                <a:schemeClr val="tx1"/>
              </a:solidFill>
              <a:effectLst/>
              <a:latin typeface="ＭＳ ゴシック" panose="020B0609070205080204" pitchFamily="49" charset="-128"/>
              <a:ea typeface="ＭＳ ゴシック" panose="020B0609070205080204" pitchFamily="49" charset="-128"/>
              <a:cs typeface="+mn-cs"/>
            </a:rPr>
            <a:t>　</a:t>
          </a:r>
          <a:r>
            <a:rPr kumimoji="1" lang="ja-JP" altLang="ja-JP" sz="2800" b="1">
              <a:solidFill>
                <a:schemeClr val="tx1"/>
              </a:solidFill>
              <a:effectLst/>
              <a:latin typeface="ＭＳ ゴシック" panose="020B0609070205080204" pitchFamily="49" charset="-128"/>
              <a:ea typeface="ＭＳ ゴシック" panose="020B0609070205080204" pitchFamily="49" charset="-128"/>
              <a:cs typeface="+mn-cs"/>
            </a:rPr>
            <a:t>高い設備に一新したい</a:t>
          </a:r>
          <a:endParaRPr lang="ja-JP" altLang="ja-JP" sz="2800" b="1">
            <a:solidFill>
              <a:schemeClr val="tx1"/>
            </a:solidFill>
            <a:effectLst/>
            <a:latin typeface="ＭＳ ゴシック" panose="020B0609070205080204" pitchFamily="49" charset="-128"/>
            <a:ea typeface="ＭＳ ゴシック" panose="020B0609070205080204" pitchFamily="49" charset="-128"/>
          </a:endParaRPr>
        </a:p>
        <a:p>
          <a:r>
            <a:rPr kumimoji="1" lang="ja-JP" altLang="ja-JP" sz="2800" b="1">
              <a:solidFill>
                <a:schemeClr val="tx1"/>
              </a:solidFill>
              <a:effectLst/>
              <a:latin typeface="ＭＳ ゴシック" panose="020B0609070205080204" pitchFamily="49" charset="-128"/>
              <a:ea typeface="ＭＳ ゴシック" panose="020B0609070205080204" pitchFamily="49" charset="-128"/>
              <a:cs typeface="+mn-cs"/>
            </a:rPr>
            <a:t>・</a:t>
          </a:r>
          <a:r>
            <a:rPr kumimoji="1" lang="ja-JP" altLang="en-US" sz="2800" b="1">
              <a:solidFill>
                <a:schemeClr val="tx1"/>
              </a:solidFill>
              <a:effectLst/>
              <a:latin typeface="ＭＳ ゴシック" panose="020B0609070205080204" pitchFamily="49" charset="-128"/>
              <a:ea typeface="ＭＳ ゴシック" panose="020B0609070205080204" pitchFamily="49" charset="-128"/>
              <a:cs typeface="+mn-cs"/>
            </a:rPr>
            <a:t>後継者への事業承継を円滑に行いたい</a:t>
          </a:r>
          <a:endParaRPr lang="ja-JP" altLang="ja-JP" sz="2800" b="1">
            <a:solidFill>
              <a:schemeClr val="tx1"/>
            </a:solidFill>
            <a:effectLst/>
            <a:latin typeface="ＭＳ ゴシック" panose="020B0609070205080204" pitchFamily="49" charset="-128"/>
            <a:ea typeface="ＭＳ ゴシック" panose="020B0609070205080204" pitchFamily="49" charset="-128"/>
          </a:endParaRPr>
        </a:p>
        <a:p>
          <a:pPr algn="l"/>
          <a:endParaRPr kumimoji="1" lang="ja-JP" altLang="en-US" sz="1100"/>
        </a:p>
      </xdr:txBody>
    </xdr:sp>
    <xdr:clientData/>
  </xdr:twoCellAnchor>
  <xdr:twoCellAnchor>
    <xdr:from>
      <xdr:col>10</xdr:col>
      <xdr:colOff>266700</xdr:colOff>
      <xdr:row>10</xdr:row>
      <xdr:rowOff>19050</xdr:rowOff>
    </xdr:from>
    <xdr:to>
      <xdr:col>16</xdr:col>
      <xdr:colOff>2095500</xdr:colOff>
      <xdr:row>22</xdr:row>
      <xdr:rowOff>438150</xdr:rowOff>
    </xdr:to>
    <xdr:graphicFrame macro="">
      <xdr:nvGraphicFramePr>
        <xdr:cNvPr id="25" name="図表 24">
          <a:extLst>
            <a:ext uri="{FF2B5EF4-FFF2-40B4-BE49-F238E27FC236}">
              <a16:creationId xmlns:a16="http://schemas.microsoft.com/office/drawing/2014/main" id="{00000000-0008-0000-0F00-000019000000}"/>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xdr:from>
      <xdr:col>14</xdr:col>
      <xdr:colOff>1695450</xdr:colOff>
      <xdr:row>14</xdr:row>
      <xdr:rowOff>704850</xdr:rowOff>
    </xdr:from>
    <xdr:to>
      <xdr:col>16</xdr:col>
      <xdr:colOff>895350</xdr:colOff>
      <xdr:row>18</xdr:row>
      <xdr:rowOff>133350</xdr:rowOff>
    </xdr:to>
    <xdr:sp macro="" textlink="">
      <xdr:nvSpPr>
        <xdr:cNvPr id="26" name="四角形: 角を丸くする 25">
          <a:extLst>
            <a:ext uri="{FF2B5EF4-FFF2-40B4-BE49-F238E27FC236}">
              <a16:creationId xmlns:a16="http://schemas.microsoft.com/office/drawing/2014/main" id="{00000000-0008-0000-0F00-00001A000000}"/>
            </a:ext>
          </a:extLst>
        </xdr:cNvPr>
        <xdr:cNvSpPr/>
      </xdr:nvSpPr>
      <xdr:spPr>
        <a:xfrm>
          <a:off x="32508825" y="8181975"/>
          <a:ext cx="4171950" cy="2419350"/>
        </a:xfrm>
        <a:prstGeom prst="round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3200">
              <a:solidFill>
                <a:schemeClr val="tx1"/>
              </a:solidFill>
              <a:latin typeface="ＭＳ ゴシック" panose="020B0609070205080204" pitchFamily="49" charset="-128"/>
              <a:ea typeface="ＭＳ ゴシック" panose="020B0609070205080204" pitchFamily="49" charset="-128"/>
            </a:rPr>
            <a:t>☑経営診断</a:t>
          </a:r>
          <a:endParaRPr kumimoji="1" lang="en-US" altLang="ja-JP" sz="3200">
            <a:solidFill>
              <a:schemeClr val="tx1"/>
            </a:solidFill>
            <a:latin typeface="ＭＳ ゴシック" panose="020B0609070205080204" pitchFamily="49" charset="-128"/>
            <a:ea typeface="ＭＳ ゴシック" panose="020B0609070205080204" pitchFamily="49" charset="-128"/>
          </a:endParaRPr>
        </a:p>
        <a:p>
          <a:pPr algn="l"/>
          <a:r>
            <a:rPr kumimoji="1" lang="ja-JP" altLang="en-US" sz="3200">
              <a:solidFill>
                <a:schemeClr val="tx1"/>
              </a:solidFill>
              <a:latin typeface="ＭＳ ゴシック" panose="020B0609070205080204" pitchFamily="49" charset="-128"/>
              <a:ea typeface="ＭＳ ゴシック" panose="020B0609070205080204" pitchFamily="49" charset="-128"/>
            </a:rPr>
            <a:t>☑計画策定支援</a:t>
          </a:r>
          <a:endParaRPr kumimoji="1" lang="en-US" altLang="ja-JP" sz="3200">
            <a:solidFill>
              <a:schemeClr val="tx1"/>
            </a:solidFill>
            <a:latin typeface="ＭＳ ゴシック" panose="020B0609070205080204" pitchFamily="49" charset="-128"/>
            <a:ea typeface="ＭＳ ゴシック" panose="020B0609070205080204" pitchFamily="49" charset="-128"/>
          </a:endParaRPr>
        </a:p>
        <a:p>
          <a:pPr algn="l"/>
          <a:r>
            <a:rPr kumimoji="1" lang="ja-JP" altLang="en-US" sz="3200">
              <a:solidFill>
                <a:schemeClr val="tx1"/>
              </a:solidFill>
              <a:latin typeface="ＭＳ ゴシック" panose="020B0609070205080204" pitchFamily="49" charset="-128"/>
              <a:ea typeface="ＭＳ ゴシック" panose="020B0609070205080204" pitchFamily="49" charset="-128"/>
            </a:rPr>
            <a:t>☑フォローアップ</a:t>
          </a:r>
          <a:endParaRPr kumimoji="1" lang="en-US" altLang="ja-JP" sz="3200">
            <a:solidFill>
              <a:schemeClr val="tx1"/>
            </a:solidFill>
            <a:latin typeface="ＭＳ ゴシック" panose="020B0609070205080204" pitchFamily="49" charset="-128"/>
            <a:ea typeface="ＭＳ ゴシック" panose="020B0609070205080204" pitchFamily="49" charset="-128"/>
          </a:endParaRPr>
        </a:p>
      </xdr:txBody>
    </xdr:sp>
    <xdr:clientData/>
  </xdr:twoCellAnchor>
  <xdr:twoCellAnchor>
    <xdr:from>
      <xdr:col>10</xdr:col>
      <xdr:colOff>2228850</xdr:colOff>
      <xdr:row>15</xdr:row>
      <xdr:rowOff>190500</xdr:rowOff>
    </xdr:from>
    <xdr:to>
      <xdr:col>12</xdr:col>
      <xdr:colOff>933450</xdr:colOff>
      <xdr:row>17</xdr:row>
      <xdr:rowOff>457200</xdr:rowOff>
    </xdr:to>
    <xdr:sp macro="" textlink="">
      <xdr:nvSpPr>
        <xdr:cNvPr id="27" name="四角形: 角を丸くする 26">
          <a:extLst>
            <a:ext uri="{FF2B5EF4-FFF2-40B4-BE49-F238E27FC236}">
              <a16:creationId xmlns:a16="http://schemas.microsoft.com/office/drawing/2014/main" id="{00000000-0008-0000-0F00-00001B000000}"/>
            </a:ext>
          </a:extLst>
        </xdr:cNvPr>
        <xdr:cNvSpPr/>
      </xdr:nvSpPr>
      <xdr:spPr>
        <a:xfrm>
          <a:off x="23098125" y="8372475"/>
          <a:ext cx="3676650" cy="1790700"/>
        </a:xfrm>
        <a:prstGeom prst="round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3200">
              <a:solidFill>
                <a:schemeClr val="tx1"/>
              </a:solidFill>
              <a:latin typeface="ＭＳ ゴシック" panose="020B0609070205080204" pitchFamily="49" charset="-128"/>
              <a:ea typeface="ＭＳ ゴシック" panose="020B0609070205080204" pitchFamily="49" charset="-128"/>
            </a:rPr>
            <a:t>☑金融支援</a:t>
          </a:r>
          <a:endParaRPr kumimoji="1" lang="en-US" altLang="ja-JP" sz="3200">
            <a:solidFill>
              <a:schemeClr val="tx1"/>
            </a:solidFill>
            <a:latin typeface="ＭＳ ゴシック" panose="020B0609070205080204" pitchFamily="49" charset="-128"/>
            <a:ea typeface="ＭＳ ゴシック" panose="020B0609070205080204" pitchFamily="49" charset="-128"/>
          </a:endParaRPr>
        </a:p>
        <a:p>
          <a:pPr algn="l"/>
          <a:r>
            <a:rPr kumimoji="1" lang="ja-JP" altLang="en-US" sz="3200">
              <a:solidFill>
                <a:schemeClr val="tx1"/>
              </a:solidFill>
              <a:latin typeface="ＭＳ ゴシック" panose="020B0609070205080204" pitchFamily="49" charset="-128"/>
              <a:ea typeface="ＭＳ ゴシック" panose="020B0609070205080204" pitchFamily="49" charset="-128"/>
            </a:rPr>
            <a:t>☑フォローアップ</a:t>
          </a:r>
          <a:endParaRPr kumimoji="1" lang="en-US" altLang="ja-JP" sz="3200">
            <a:solidFill>
              <a:schemeClr val="tx1"/>
            </a:solidFill>
            <a:latin typeface="ＭＳ ゴシック" panose="020B0609070205080204" pitchFamily="49" charset="-128"/>
            <a:ea typeface="ＭＳ ゴシック" panose="020B0609070205080204" pitchFamily="49" charset="-128"/>
          </a:endParaRPr>
        </a:p>
      </xdr:txBody>
    </xdr:sp>
    <xdr:clientData/>
  </xdr:twoCellAnchor>
  <xdr:twoCellAnchor>
    <xdr:from>
      <xdr:col>13</xdr:col>
      <xdr:colOff>571500</xdr:colOff>
      <xdr:row>20</xdr:row>
      <xdr:rowOff>285750</xdr:rowOff>
    </xdr:from>
    <xdr:to>
      <xdr:col>13</xdr:col>
      <xdr:colOff>1866900</xdr:colOff>
      <xdr:row>21</xdr:row>
      <xdr:rowOff>171450</xdr:rowOff>
    </xdr:to>
    <xdr:sp macro="" textlink="">
      <xdr:nvSpPr>
        <xdr:cNvPr id="28" name="四角形: 角を丸くする 27">
          <a:extLst>
            <a:ext uri="{FF2B5EF4-FFF2-40B4-BE49-F238E27FC236}">
              <a16:creationId xmlns:a16="http://schemas.microsoft.com/office/drawing/2014/main" id="{00000000-0008-0000-0F00-00001C000000}"/>
            </a:ext>
          </a:extLst>
        </xdr:cNvPr>
        <xdr:cNvSpPr/>
      </xdr:nvSpPr>
      <xdr:spPr>
        <a:xfrm>
          <a:off x="28898850" y="12277725"/>
          <a:ext cx="1295400" cy="647700"/>
        </a:xfrm>
        <a:prstGeom prst="round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3200">
              <a:solidFill>
                <a:schemeClr val="tx1"/>
              </a:solidFill>
              <a:latin typeface="ＭＳ ゴシック" panose="020B0609070205080204" pitchFamily="49" charset="-128"/>
              <a:ea typeface="ＭＳ ゴシック" panose="020B0609070205080204" pitchFamily="49" charset="-128"/>
            </a:rPr>
            <a:t>連携</a:t>
          </a:r>
        </a:p>
      </xdr:txBody>
    </xdr:sp>
    <xdr:clientData/>
  </xdr:twoCellAnchor>
  <xdr:oneCellAnchor>
    <xdr:from>
      <xdr:col>12</xdr:col>
      <xdr:colOff>1733550</xdr:colOff>
      <xdr:row>1</xdr:row>
      <xdr:rowOff>0</xdr:rowOff>
    </xdr:from>
    <xdr:ext cx="4339650" cy="692562"/>
    <xdr:sp macro="" textlink="">
      <xdr:nvSpPr>
        <xdr:cNvPr id="29" name="テキスト ボックス 28">
          <a:extLst>
            <a:ext uri="{FF2B5EF4-FFF2-40B4-BE49-F238E27FC236}">
              <a16:creationId xmlns:a16="http://schemas.microsoft.com/office/drawing/2014/main" id="{00000000-0008-0000-0F00-00001D000000}"/>
            </a:ext>
          </a:extLst>
        </xdr:cNvPr>
        <xdr:cNvSpPr txBox="1"/>
      </xdr:nvSpPr>
      <xdr:spPr>
        <a:xfrm>
          <a:off x="27574875" y="180975"/>
          <a:ext cx="4339650" cy="69256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3600">
              <a:solidFill>
                <a:srgbClr val="0070C0"/>
              </a:solidFill>
              <a:latin typeface="ＭＳ ゴシック" panose="020B0609070205080204" pitchFamily="49" charset="-128"/>
              <a:ea typeface="ＭＳ ゴシック" panose="020B0609070205080204" pitchFamily="49" charset="-128"/>
            </a:rPr>
            <a:t>経営安定化支援事業</a:t>
          </a:r>
        </a:p>
      </xdr:txBody>
    </xdr:sp>
    <xdr:clientData/>
  </xdr:oneCellAnchor>
  <xdr:twoCellAnchor>
    <xdr:from>
      <xdr:col>10</xdr:col>
      <xdr:colOff>190500</xdr:colOff>
      <xdr:row>2</xdr:row>
      <xdr:rowOff>342900</xdr:rowOff>
    </xdr:from>
    <xdr:to>
      <xdr:col>16</xdr:col>
      <xdr:colOff>2362200</xdr:colOff>
      <xdr:row>4</xdr:row>
      <xdr:rowOff>323850</xdr:rowOff>
    </xdr:to>
    <xdr:sp macro="" textlink="">
      <xdr:nvSpPr>
        <xdr:cNvPr id="30" name="正方形/長方形 29">
          <a:extLst>
            <a:ext uri="{FF2B5EF4-FFF2-40B4-BE49-F238E27FC236}">
              <a16:creationId xmlns:a16="http://schemas.microsoft.com/office/drawing/2014/main" id="{00000000-0008-0000-0F00-00001E000000}"/>
            </a:ext>
          </a:extLst>
        </xdr:cNvPr>
        <xdr:cNvSpPr/>
      </xdr:nvSpPr>
      <xdr:spPr>
        <a:xfrm>
          <a:off x="21059775" y="1095375"/>
          <a:ext cx="17087850" cy="1123950"/>
        </a:xfrm>
        <a:prstGeom prst="rect">
          <a:avLst/>
        </a:prstGeom>
        <a:solidFill>
          <a:schemeClr val="accent1">
            <a:lumMod val="20000"/>
            <a:lumOff val="80000"/>
          </a:schemeClr>
        </a:solidFill>
      </xdr:spPr>
      <xdr:style>
        <a:lnRef idx="0">
          <a:schemeClr val="accent1"/>
        </a:lnRef>
        <a:fillRef idx="3">
          <a:schemeClr val="accent1"/>
        </a:fillRef>
        <a:effectRef idx="3">
          <a:schemeClr val="accent1"/>
        </a:effectRef>
        <a:fontRef idx="minor">
          <a:schemeClr val="lt1"/>
        </a:fontRef>
      </xdr:style>
      <xdr:txBody>
        <a:bodyPr vertOverflow="clip" horzOverflow="clip" rtlCol="0" anchor="ctr" anchorCtr="1"/>
        <a:lstStyle/>
        <a:p>
          <a:pPr marL="0" marR="0" lvl="0" indent="0" algn="l" defTabSz="914400" rtl="0" eaLnBrk="1" fontAlgn="auto" latinLnBrk="0" hangingPunct="1">
            <a:lnSpc>
              <a:spcPct val="100000"/>
            </a:lnSpc>
            <a:spcBef>
              <a:spcPts val="0"/>
            </a:spcBef>
            <a:spcAft>
              <a:spcPts val="0"/>
            </a:spcAft>
            <a:buClrTx/>
            <a:buSzTx/>
            <a:buFontTx/>
            <a:buNone/>
            <a:tabLst/>
            <a:defRPr/>
          </a:pPr>
          <a:r>
            <a:rPr lang="ja-JP" altLang="en-US" sz="2800" b="1">
              <a:solidFill>
                <a:schemeClr val="tx1"/>
              </a:solidFill>
              <a:effectLst/>
              <a:latin typeface="ＭＳ ゴシック" panose="020B0609070205080204" pitchFamily="49" charset="-128"/>
              <a:ea typeface="ＭＳ ゴシック" panose="020B0609070205080204" pitchFamily="49" charset="-128"/>
              <a:cs typeface="+mn-cs"/>
            </a:rPr>
            <a:t>中小企業診断士を無料で派遣し、経営改善や生産性向上、事業承継に関わる課題解決に意欲のある事業者のサポートを行います</a:t>
          </a:r>
          <a:endParaRPr lang="ja-JP" altLang="ja-JP" sz="2400" b="1">
            <a:solidFill>
              <a:schemeClr val="tx1"/>
            </a:solidFill>
            <a:effectLst/>
            <a:latin typeface="ＭＳ ゴシック" panose="020B0609070205080204" pitchFamily="49" charset="-128"/>
            <a:ea typeface="ＭＳ ゴシック" panose="020B0609070205080204" pitchFamily="49" charset="-128"/>
          </a:endParaRPr>
        </a:p>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1C3A3B-3516-4E2E-B089-DF03CE47D3EE}">
  <sheetPr>
    <pageSetUpPr fitToPage="1"/>
  </sheetPr>
  <dimension ref="B2:O29"/>
  <sheetViews>
    <sheetView view="pageBreakPreview" zoomScale="85" zoomScaleNormal="55" zoomScaleSheetLayoutView="85" workbookViewId="0">
      <selection activeCell="C13" sqref="C13"/>
    </sheetView>
  </sheetViews>
  <sheetFormatPr defaultRowHeight="18.75" x14ac:dyDescent="0.4"/>
  <cols>
    <col min="1" max="1" width="6" customWidth="1"/>
    <col min="2" max="2" width="44.875" customWidth="1"/>
    <col min="3" max="3" width="95.25" bestFit="1" customWidth="1"/>
    <col min="4" max="4" width="6.375" customWidth="1"/>
    <col min="7" max="7" width="7.125" customWidth="1"/>
  </cols>
  <sheetData>
    <row r="2" spans="2:15" x14ac:dyDescent="0.4">
      <c r="B2" s="44" t="s">
        <v>52</v>
      </c>
      <c r="C2" t="s">
        <v>53</v>
      </c>
      <c r="D2" t="s">
        <v>46</v>
      </c>
      <c r="E2" s="45">
        <v>4000</v>
      </c>
      <c r="F2" s="46" t="s">
        <v>45</v>
      </c>
      <c r="G2" s="46" t="s">
        <v>54</v>
      </c>
      <c r="H2" s="45">
        <v>2100</v>
      </c>
      <c r="I2" t="s">
        <v>45</v>
      </c>
      <c r="J2" t="s">
        <v>46</v>
      </c>
      <c r="K2" s="45">
        <v>0</v>
      </c>
      <c r="L2" s="46" t="s">
        <v>45</v>
      </c>
      <c r="M2" s="46" t="s">
        <v>54</v>
      </c>
      <c r="N2" s="45">
        <v>0</v>
      </c>
      <c r="O2" t="s">
        <v>45</v>
      </c>
    </row>
    <row r="3" spans="2:15" x14ac:dyDescent="0.4">
      <c r="C3" t="s">
        <v>55</v>
      </c>
      <c r="D3" t="s">
        <v>46</v>
      </c>
      <c r="E3" s="45">
        <v>2500</v>
      </c>
      <c r="F3" s="46" t="s">
        <v>45</v>
      </c>
      <c r="G3" s="46" t="s">
        <v>54</v>
      </c>
      <c r="H3" s="45">
        <v>1200</v>
      </c>
      <c r="I3" t="s">
        <v>45</v>
      </c>
      <c r="J3" t="s">
        <v>46</v>
      </c>
      <c r="K3" s="45">
        <v>0</v>
      </c>
      <c r="L3" s="46" t="s">
        <v>45</v>
      </c>
      <c r="M3" s="46" t="s">
        <v>54</v>
      </c>
      <c r="N3" s="45">
        <v>0</v>
      </c>
      <c r="O3" t="s">
        <v>45</v>
      </c>
    </row>
    <row r="4" spans="2:15" x14ac:dyDescent="0.4">
      <c r="C4" t="s">
        <v>56</v>
      </c>
      <c r="D4" t="s">
        <v>46</v>
      </c>
      <c r="E4" s="45">
        <v>6000</v>
      </c>
      <c r="F4" s="46" t="s">
        <v>45</v>
      </c>
      <c r="G4" s="46" t="s">
        <v>54</v>
      </c>
      <c r="H4" s="45">
        <v>3000</v>
      </c>
      <c r="I4" t="s">
        <v>45</v>
      </c>
      <c r="J4" t="s">
        <v>46</v>
      </c>
      <c r="K4" s="45"/>
      <c r="L4" s="46" t="s">
        <v>45</v>
      </c>
      <c r="M4" s="46" t="s">
        <v>54</v>
      </c>
      <c r="N4" s="45"/>
      <c r="O4" t="s">
        <v>45</v>
      </c>
    </row>
    <row r="5" spans="2:15" x14ac:dyDescent="0.4">
      <c r="C5" t="s">
        <v>57</v>
      </c>
      <c r="D5" t="s">
        <v>46</v>
      </c>
      <c r="E5" s="45">
        <v>6000</v>
      </c>
      <c r="F5" s="46" t="s">
        <v>45</v>
      </c>
      <c r="G5" s="46" t="s">
        <v>54</v>
      </c>
      <c r="H5" s="45">
        <v>3000</v>
      </c>
      <c r="I5" t="s">
        <v>45</v>
      </c>
      <c r="J5" t="s">
        <v>46</v>
      </c>
      <c r="K5" s="45"/>
      <c r="L5" s="46" t="s">
        <v>45</v>
      </c>
      <c r="M5" s="46" t="s">
        <v>54</v>
      </c>
      <c r="N5" s="45"/>
      <c r="O5" t="s">
        <v>45</v>
      </c>
    </row>
    <row r="6" spans="2:15" x14ac:dyDescent="0.4">
      <c r="C6" t="s">
        <v>58</v>
      </c>
      <c r="D6" t="s">
        <v>46</v>
      </c>
      <c r="E6" s="45">
        <v>5000</v>
      </c>
      <c r="F6" s="46" t="s">
        <v>45</v>
      </c>
      <c r="G6" s="46" t="s">
        <v>54</v>
      </c>
      <c r="H6" s="45">
        <v>2500</v>
      </c>
      <c r="I6" t="s">
        <v>45</v>
      </c>
      <c r="J6" t="s">
        <v>46</v>
      </c>
      <c r="K6" s="45"/>
      <c r="L6" s="46" t="s">
        <v>45</v>
      </c>
      <c r="M6" s="46" t="s">
        <v>54</v>
      </c>
      <c r="N6" s="45"/>
      <c r="O6" t="s">
        <v>45</v>
      </c>
    </row>
    <row r="7" spans="2:15" x14ac:dyDescent="0.4">
      <c r="C7" t="s">
        <v>59</v>
      </c>
      <c r="D7" t="s">
        <v>46</v>
      </c>
      <c r="E7" s="45">
        <v>4500</v>
      </c>
      <c r="F7" s="46" t="s">
        <v>45</v>
      </c>
      <c r="G7" s="46" t="s">
        <v>54</v>
      </c>
      <c r="H7" s="45">
        <v>2500</v>
      </c>
      <c r="I7" t="s">
        <v>45</v>
      </c>
      <c r="J7" t="s">
        <v>46</v>
      </c>
      <c r="K7" s="45"/>
      <c r="L7" s="46" t="s">
        <v>45</v>
      </c>
      <c r="M7" s="46" t="s">
        <v>54</v>
      </c>
      <c r="N7" s="45"/>
      <c r="O7" t="s">
        <v>45</v>
      </c>
    </row>
    <row r="8" spans="2:15" x14ac:dyDescent="0.4">
      <c r="B8" t="s">
        <v>60</v>
      </c>
      <c r="C8" t="s">
        <v>61</v>
      </c>
      <c r="E8" s="45">
        <v>250</v>
      </c>
      <c r="F8" t="s">
        <v>45</v>
      </c>
      <c r="J8" t="s">
        <v>119</v>
      </c>
    </row>
    <row r="9" spans="2:15" x14ac:dyDescent="0.4">
      <c r="C9" t="s">
        <v>62</v>
      </c>
      <c r="E9" s="45">
        <v>700</v>
      </c>
      <c r="F9" t="s">
        <v>45</v>
      </c>
    </row>
    <row r="10" spans="2:15" x14ac:dyDescent="0.4">
      <c r="C10" t="s">
        <v>63</v>
      </c>
      <c r="E10" s="45">
        <v>25</v>
      </c>
      <c r="F10" t="s">
        <v>45</v>
      </c>
    </row>
    <row r="11" spans="2:15" x14ac:dyDescent="0.4">
      <c r="C11" t="s">
        <v>64</v>
      </c>
      <c r="E11" s="45">
        <v>250</v>
      </c>
      <c r="F11" t="s">
        <v>45</v>
      </c>
    </row>
    <row r="12" spans="2:15" x14ac:dyDescent="0.4">
      <c r="C12" t="s">
        <v>103</v>
      </c>
      <c r="E12" s="45">
        <v>50</v>
      </c>
      <c r="F12" t="s">
        <v>45</v>
      </c>
    </row>
    <row r="13" spans="2:15" x14ac:dyDescent="0.4">
      <c r="C13" t="s">
        <v>122</v>
      </c>
      <c r="E13" s="45">
        <v>150</v>
      </c>
      <c r="F13" t="s">
        <v>45</v>
      </c>
    </row>
    <row r="14" spans="2:15" x14ac:dyDescent="0.4">
      <c r="B14" t="s">
        <v>66</v>
      </c>
      <c r="C14" t="s">
        <v>67</v>
      </c>
      <c r="E14" s="45">
        <v>4000</v>
      </c>
      <c r="F14" t="s">
        <v>45</v>
      </c>
    </row>
    <row r="15" spans="2:15" x14ac:dyDescent="0.4">
      <c r="B15" s="222" t="s">
        <v>102</v>
      </c>
      <c r="C15" t="s">
        <v>117</v>
      </c>
      <c r="E15" s="95">
        <v>0.4</v>
      </c>
    </row>
    <row r="16" spans="2:15" x14ac:dyDescent="0.4">
      <c r="B16" s="222"/>
      <c r="C16" t="s">
        <v>115</v>
      </c>
      <c r="E16" s="95">
        <v>0</v>
      </c>
    </row>
    <row r="17" spans="2:5" x14ac:dyDescent="0.4">
      <c r="B17" s="222"/>
      <c r="C17" s="94" t="s">
        <v>114</v>
      </c>
      <c r="E17" s="95">
        <v>0.3</v>
      </c>
    </row>
    <row r="18" spans="2:5" x14ac:dyDescent="0.4">
      <c r="C18" s="94" t="s">
        <v>109</v>
      </c>
      <c r="E18" s="95">
        <v>0.3</v>
      </c>
    </row>
    <row r="19" spans="2:5" x14ac:dyDescent="0.4">
      <c r="C19" s="94" t="s">
        <v>110</v>
      </c>
      <c r="E19" s="95">
        <v>0</v>
      </c>
    </row>
    <row r="20" spans="2:5" x14ac:dyDescent="0.4">
      <c r="C20" s="94" t="s">
        <v>111</v>
      </c>
      <c r="E20" s="95">
        <v>0</v>
      </c>
    </row>
    <row r="21" spans="2:5" x14ac:dyDescent="0.4">
      <c r="B21" s="222" t="s">
        <v>101</v>
      </c>
      <c r="C21" s="94" t="s">
        <v>118</v>
      </c>
      <c r="E21" s="95">
        <v>0.7</v>
      </c>
    </row>
    <row r="22" spans="2:5" x14ac:dyDescent="0.4">
      <c r="B22" s="222"/>
      <c r="C22" s="94" t="s">
        <v>116</v>
      </c>
      <c r="E22" s="95">
        <v>0.3</v>
      </c>
    </row>
    <row r="23" spans="2:5" x14ac:dyDescent="0.4">
      <c r="B23" s="222"/>
      <c r="C23" s="94" t="s">
        <v>113</v>
      </c>
      <c r="E23" s="95">
        <v>0</v>
      </c>
    </row>
    <row r="24" spans="2:5" x14ac:dyDescent="0.4">
      <c r="C24" s="94" t="s">
        <v>109</v>
      </c>
      <c r="E24" s="95">
        <v>0</v>
      </c>
    </row>
    <row r="25" spans="2:5" x14ac:dyDescent="0.4">
      <c r="C25" s="94" t="s">
        <v>112</v>
      </c>
      <c r="E25" s="95">
        <v>0</v>
      </c>
    </row>
    <row r="26" spans="2:5" x14ac:dyDescent="0.4">
      <c r="C26" s="94" t="s">
        <v>111</v>
      </c>
      <c r="E26" s="95">
        <v>0</v>
      </c>
    </row>
    <row r="27" spans="2:5" x14ac:dyDescent="0.4">
      <c r="B27" t="s">
        <v>90</v>
      </c>
      <c r="C27" s="94" t="s">
        <v>121</v>
      </c>
    </row>
    <row r="29" spans="2:5" x14ac:dyDescent="0.4">
      <c r="B29" t="s">
        <v>120</v>
      </c>
    </row>
  </sheetData>
  <mergeCells count="2">
    <mergeCell ref="B15:B17"/>
    <mergeCell ref="B21:B23"/>
  </mergeCells>
  <phoneticPr fontId="3"/>
  <pageMargins left="0.7" right="0.7" top="0.75" bottom="0.75" header="0.3" footer="0.3"/>
  <pageSetup paperSize="9" scale="4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C5777E-1552-4842-B1E3-618AC793122A}">
  <sheetPr>
    <tabColor rgb="FFFF0000"/>
    <pageSetUpPr fitToPage="1"/>
  </sheetPr>
  <dimension ref="B1:S36"/>
  <sheetViews>
    <sheetView view="pageBreakPreview" topLeftCell="A13" zoomScaleNormal="100" zoomScaleSheetLayoutView="100" workbookViewId="0">
      <selection activeCell="D24" sqref="D24"/>
    </sheetView>
  </sheetViews>
  <sheetFormatPr defaultRowHeight="18.75" x14ac:dyDescent="0.4"/>
  <cols>
    <col min="1" max="1" width="5.25" customWidth="1"/>
    <col min="2" max="2" width="17.625" style="49" customWidth="1"/>
    <col min="3" max="4" width="11.25" style="49" customWidth="1"/>
    <col min="5" max="10" width="11.25" customWidth="1"/>
    <col min="11" max="11" width="6.875" customWidth="1"/>
    <col min="12" max="12" width="17.625" style="49" customWidth="1"/>
    <col min="13" max="18" width="11.25" customWidth="1"/>
  </cols>
  <sheetData>
    <row r="1" spans="2:19" ht="30.75" thickBot="1" x14ac:dyDescent="0.45">
      <c r="E1" s="224" t="s">
        <v>96</v>
      </c>
      <c r="F1" s="224"/>
      <c r="G1" s="224"/>
      <c r="H1" s="224"/>
      <c r="I1" s="224"/>
      <c r="J1" s="224"/>
      <c r="K1" s="224"/>
      <c r="L1" s="224"/>
      <c r="M1" s="224"/>
      <c r="N1" s="224"/>
      <c r="O1" s="224"/>
      <c r="P1" s="224"/>
      <c r="Q1" s="50" t="s">
        <v>72</v>
      </c>
      <c r="R1" s="51">
        <v>0.6</v>
      </c>
    </row>
    <row r="2" spans="2:19" s="53" customFormat="1" x14ac:dyDescent="0.4">
      <c r="B2" s="52"/>
      <c r="C2" s="52"/>
      <c r="D2" s="52"/>
      <c r="Q2" s="52"/>
      <c r="R2" s="54"/>
    </row>
    <row r="3" spans="2:19" x14ac:dyDescent="0.4">
      <c r="B3"/>
      <c r="C3"/>
      <c r="D3"/>
      <c r="E3" s="55"/>
      <c r="F3" s="55"/>
      <c r="G3" s="56"/>
      <c r="H3" s="55"/>
      <c r="I3" s="55"/>
      <c r="J3" s="55"/>
      <c r="K3" s="55"/>
      <c r="L3" s="55"/>
      <c r="M3" s="55"/>
      <c r="N3" s="55"/>
      <c r="O3" s="56"/>
      <c r="S3" s="49"/>
    </row>
    <row r="4" spans="2:19" s="59" customFormat="1" ht="22.5" customHeight="1" x14ac:dyDescent="0.4">
      <c r="B4" s="225" t="s">
        <v>73</v>
      </c>
      <c r="C4" s="225"/>
      <c r="D4" s="225"/>
      <c r="E4" s="226"/>
      <c r="F4" s="226"/>
      <c r="G4" s="226"/>
      <c r="H4" s="57"/>
      <c r="I4" s="58"/>
      <c r="J4" s="58"/>
      <c r="K4" s="58"/>
      <c r="L4" s="227" t="s">
        <v>74</v>
      </c>
      <c r="M4" s="227"/>
      <c r="N4" s="227"/>
      <c r="O4" s="227"/>
    </row>
    <row r="5" spans="2:19" s="59" customFormat="1" ht="22.5" customHeight="1" x14ac:dyDescent="0.4">
      <c r="B5" s="60"/>
      <c r="C5" s="61">
        <f ca="1">D5-30</f>
        <v>45075.48655173611</v>
      </c>
      <c r="D5" s="61">
        <f ca="1">E5-30</f>
        <v>45105.48655173611</v>
      </c>
      <c r="E5" s="61">
        <f ca="1">NOW()+30</f>
        <v>45135.48655173611</v>
      </c>
      <c r="F5" s="61">
        <f ca="1">E5+30</f>
        <v>45165.48655173611</v>
      </c>
      <c r="G5" s="61">
        <f t="shared" ref="G5:J5" ca="1" si="0">F5+30</f>
        <v>45195.48655173611</v>
      </c>
      <c r="H5" s="61">
        <f t="shared" ca="1" si="0"/>
        <v>45225.48655173611</v>
      </c>
      <c r="I5" s="61">
        <f t="shared" ca="1" si="0"/>
        <v>45255.48655173611</v>
      </c>
      <c r="J5" s="84">
        <f t="shared" ca="1" si="0"/>
        <v>45285.48655173611</v>
      </c>
      <c r="L5" s="62"/>
      <c r="M5" s="61">
        <f t="shared" ref="M5:P5" ca="1" si="1">E5</f>
        <v>45135.48655173611</v>
      </c>
      <c r="N5" s="61">
        <f t="shared" ca="1" si="1"/>
        <v>45165.48655173611</v>
      </c>
      <c r="O5" s="61">
        <f t="shared" ca="1" si="1"/>
        <v>45195.48655173611</v>
      </c>
      <c r="P5" s="61">
        <f t="shared" ca="1" si="1"/>
        <v>45225.48655173611</v>
      </c>
      <c r="Q5" s="61">
        <f ca="1">I5</f>
        <v>45255.48655173611</v>
      </c>
      <c r="R5" s="84">
        <f ca="1">J5</f>
        <v>45285.48655173611</v>
      </c>
    </row>
    <row r="6" spans="2:19" s="59" customFormat="1" ht="22.5" customHeight="1" x14ac:dyDescent="0.4">
      <c r="B6" s="63" t="s">
        <v>75</v>
      </c>
      <c r="C6" s="126" t="e">
        <f>#REF!</f>
        <v>#REF!</v>
      </c>
      <c r="D6" s="126" t="e">
        <f t="shared" ref="D6:J6" si="2">C28</f>
        <v>#REF!</v>
      </c>
      <c r="E6" s="126" t="e">
        <f t="shared" si="2"/>
        <v>#REF!</v>
      </c>
      <c r="F6" s="126" t="e">
        <f t="shared" si="2"/>
        <v>#REF!</v>
      </c>
      <c r="G6" s="126" t="e">
        <f t="shared" si="2"/>
        <v>#REF!</v>
      </c>
      <c r="H6" s="126" t="e">
        <f t="shared" si="2"/>
        <v>#REF!</v>
      </c>
      <c r="I6" s="126" t="e">
        <f t="shared" si="2"/>
        <v>#REF!</v>
      </c>
      <c r="J6" s="126" t="e">
        <f t="shared" si="2"/>
        <v>#REF!</v>
      </c>
      <c r="K6" s="58"/>
      <c r="L6" s="65" t="str">
        <f>B6</f>
        <v>月初現金残高</v>
      </c>
      <c r="M6" s="126" t="e">
        <f>E6</f>
        <v>#REF!</v>
      </c>
      <c r="N6" s="126" t="e">
        <f>M28</f>
        <v>#REF!</v>
      </c>
      <c r="O6" s="126" t="e">
        <f>N28</f>
        <v>#REF!</v>
      </c>
      <c r="P6" s="108" t="e">
        <f>O28</f>
        <v>#REF!</v>
      </c>
      <c r="Q6" s="108" t="e">
        <f>P28</f>
        <v>#REF!</v>
      </c>
      <c r="R6" s="108" t="e">
        <f>Q28</f>
        <v>#REF!</v>
      </c>
    </row>
    <row r="7" spans="2:19" s="59" customFormat="1" ht="22.5" customHeight="1" x14ac:dyDescent="0.4">
      <c r="B7" s="67"/>
      <c r="C7" s="127"/>
      <c r="D7" s="127"/>
      <c r="E7" s="128"/>
      <c r="F7" s="128"/>
      <c r="G7" s="128"/>
      <c r="H7" s="128"/>
      <c r="I7" s="128"/>
      <c r="J7" s="128"/>
      <c r="K7" s="58"/>
      <c r="L7" s="68"/>
      <c r="M7" s="128"/>
      <c r="N7" s="128"/>
      <c r="O7" s="128"/>
      <c r="P7" s="129"/>
      <c r="Q7" s="129"/>
      <c r="R7" s="129"/>
    </row>
    <row r="8" spans="2:19" s="59" customFormat="1" ht="22.5" customHeight="1" x14ac:dyDescent="0.4">
      <c r="B8" s="62"/>
      <c r="C8" s="130">
        <f ca="1">D8-30</f>
        <v>45075.48655173611</v>
      </c>
      <c r="D8" s="130">
        <f ca="1">E8-30</f>
        <v>45105.48655173611</v>
      </c>
      <c r="E8" s="130">
        <f ca="1">NOW()+30</f>
        <v>45135.48655173611</v>
      </c>
      <c r="F8" s="130">
        <f ca="1">E8+30</f>
        <v>45165.48655173611</v>
      </c>
      <c r="G8" s="130">
        <f t="shared" ref="G8:J8" ca="1" si="3">F8+30</f>
        <v>45195.48655173611</v>
      </c>
      <c r="H8" s="130">
        <f t="shared" ca="1" si="3"/>
        <v>45225.48655173611</v>
      </c>
      <c r="I8" s="130">
        <f t="shared" ca="1" si="3"/>
        <v>45255.48655173611</v>
      </c>
      <c r="J8" s="131">
        <f t="shared" ca="1" si="3"/>
        <v>45285.48655173611</v>
      </c>
      <c r="L8" s="62"/>
      <c r="M8" s="130">
        <f t="shared" ref="M8:P8" ca="1" si="4">E8</f>
        <v>45135.48655173611</v>
      </c>
      <c r="N8" s="130">
        <f t="shared" ca="1" si="4"/>
        <v>45165.48655173611</v>
      </c>
      <c r="O8" s="130">
        <f t="shared" ca="1" si="4"/>
        <v>45195.48655173611</v>
      </c>
      <c r="P8" s="130">
        <f t="shared" ca="1" si="4"/>
        <v>45225.48655173611</v>
      </c>
      <c r="Q8" s="130">
        <f ca="1">I8</f>
        <v>45255.48655173611</v>
      </c>
      <c r="R8" s="131">
        <f ca="1">J8</f>
        <v>45285.48655173611</v>
      </c>
    </row>
    <row r="9" spans="2:19" s="59" customFormat="1" ht="22.5" customHeight="1" x14ac:dyDescent="0.4">
      <c r="B9" s="63" t="s">
        <v>46</v>
      </c>
      <c r="C9" s="103" t="e">
        <f>#REF!</f>
        <v>#REF!</v>
      </c>
      <c r="D9" s="103" t="e">
        <f>#REF!</f>
        <v>#REF!</v>
      </c>
      <c r="E9" s="108" t="e">
        <f>#REF!</f>
        <v>#REF!</v>
      </c>
      <c r="F9" s="108" t="e">
        <f>#REF!</f>
        <v>#REF!</v>
      </c>
      <c r="G9" s="108" t="e">
        <f>#REF!</f>
        <v>#REF!</v>
      </c>
      <c r="H9" s="108" t="e">
        <f>#REF!</f>
        <v>#REF!</v>
      </c>
      <c r="I9" s="108" t="e">
        <f>#REF!</f>
        <v>#REF!</v>
      </c>
      <c r="J9" s="108" t="e">
        <f>#REF!</f>
        <v>#REF!</v>
      </c>
      <c r="L9" s="63" t="str">
        <f>B9</f>
        <v>売上</v>
      </c>
      <c r="M9" s="108" t="e">
        <f t="shared" ref="M9:R9" si="5">E9*$R$1</f>
        <v>#REF!</v>
      </c>
      <c r="N9" s="108" t="e">
        <f>F9*$R$1</f>
        <v>#REF!</v>
      </c>
      <c r="O9" s="108" t="e">
        <f t="shared" si="5"/>
        <v>#REF!</v>
      </c>
      <c r="P9" s="108" t="e">
        <f t="shared" si="5"/>
        <v>#REF!</v>
      </c>
      <c r="Q9" s="108" t="e">
        <f t="shared" si="5"/>
        <v>#REF!</v>
      </c>
      <c r="R9" s="108" t="e">
        <f t="shared" si="5"/>
        <v>#REF!</v>
      </c>
    </row>
    <row r="10" spans="2:19" s="59" customFormat="1" ht="22.5" customHeight="1" x14ac:dyDescent="0.4">
      <c r="B10" s="63" t="s">
        <v>149</v>
      </c>
      <c r="C10" s="103"/>
      <c r="D10" s="103"/>
      <c r="E10" s="108"/>
      <c r="F10" s="108"/>
      <c r="G10" s="108"/>
      <c r="H10" s="108"/>
      <c r="I10" s="108"/>
      <c r="J10" s="108"/>
      <c r="L10" s="63" t="str">
        <f>B10</f>
        <v>その他収入</v>
      </c>
      <c r="M10" s="108">
        <f>C10</f>
        <v>0</v>
      </c>
      <c r="N10" s="108">
        <f t="shared" ref="N10:R10" si="6">D10</f>
        <v>0</v>
      </c>
      <c r="O10" s="108">
        <f t="shared" si="6"/>
        <v>0</v>
      </c>
      <c r="P10" s="108">
        <f t="shared" si="6"/>
        <v>0</v>
      </c>
      <c r="Q10" s="108">
        <f t="shared" si="6"/>
        <v>0</v>
      </c>
      <c r="R10" s="108">
        <f t="shared" si="6"/>
        <v>0</v>
      </c>
    </row>
    <row r="11" spans="2:19" s="59" customFormat="1" ht="22.5" customHeight="1" x14ac:dyDescent="0.4">
      <c r="B11" s="70" t="s">
        <v>150</v>
      </c>
      <c r="C11" s="104" t="e">
        <f>C10+#REF!</f>
        <v>#REF!</v>
      </c>
      <c r="D11" s="104" t="e">
        <f>D10+#REF!</f>
        <v>#REF!</v>
      </c>
      <c r="E11" s="106" t="e">
        <f>E10+#REF!+E9*#REF!</f>
        <v>#REF!</v>
      </c>
      <c r="F11" s="106" t="e">
        <f>F10+#REF!+E9*#REF!+F9*#REF!</f>
        <v>#REF!</v>
      </c>
      <c r="G11" s="106" t="e">
        <f>G10+#REF!+E9*#REF!+F9*#REF!+G9*#REF!</f>
        <v>#REF!</v>
      </c>
      <c r="H11" s="106" t="e">
        <f>H10+#REF!+E9*#REF!+F9*#REF!+G9*#REF!+H9*#REF!</f>
        <v>#REF!</v>
      </c>
      <c r="I11" s="106" t="e">
        <f>I10+#REF!+E9*#REF!+F9*#REF!+G9*#REF!+H9*#REF!+I9*#REF!</f>
        <v>#REF!</v>
      </c>
      <c r="J11" s="106" t="e">
        <f>J10+#REF!+E9*#REF!+F9*#REF!+G9*#REF!+H9*#REF!+I9*#REF!+J9*#REF!</f>
        <v>#REF!</v>
      </c>
      <c r="L11" s="70" t="str">
        <f>B11</f>
        <v>経常収入</v>
      </c>
      <c r="M11" s="106" t="e">
        <f>M10+#REF!+$R$1*(E9*#REF!)</f>
        <v>#REF!</v>
      </c>
      <c r="N11" s="106" t="e">
        <f>N10+#REF!+$R$1*(E9*#REF!+F9*#REF!)</f>
        <v>#REF!</v>
      </c>
      <c r="O11" s="106" t="e">
        <f>O10+#REF!+$R$1*(E9*#REF!+F9*#REF!+G9*#REF!)</f>
        <v>#REF!</v>
      </c>
      <c r="P11" s="106" t="e">
        <f>P10+#REF!+$R$1*(E9*#REF!+F9*#REF!+G9*#REF!+H9*#REF!)</f>
        <v>#REF!</v>
      </c>
      <c r="Q11" s="106" t="e">
        <f>Q10+#REF!+$R$1*(E9*#REF!+F9*#REF!+G9*#REF!+H9*#REF!+I9*#REF!)</f>
        <v>#REF!</v>
      </c>
      <c r="R11" s="106" t="e">
        <f>R10+#REF!+$R$1*(E9*#REF!+F9*#REF!+G9*#REF!+H9*#REF!+I9*#REF!+J9*#REF!)</f>
        <v>#REF!</v>
      </c>
    </row>
    <row r="12" spans="2:19" s="59" customFormat="1" ht="22.5" customHeight="1" x14ac:dyDescent="0.4">
      <c r="B12" s="67"/>
      <c r="C12" s="67"/>
      <c r="D12" s="67"/>
      <c r="E12" s="72"/>
      <c r="F12" s="72"/>
      <c r="G12" s="72"/>
      <c r="H12" s="72"/>
      <c r="I12" s="72"/>
      <c r="J12" s="72"/>
      <c r="L12" s="67"/>
      <c r="M12" s="129"/>
      <c r="N12" s="129"/>
      <c r="O12" s="129"/>
      <c r="P12" s="129"/>
      <c r="Q12" s="129"/>
      <c r="R12" s="129"/>
    </row>
    <row r="13" spans="2:19" s="59" customFormat="1" ht="22.5" customHeight="1" x14ac:dyDescent="0.4">
      <c r="B13" s="62"/>
      <c r="C13" s="61">
        <f ca="1">D13-30</f>
        <v>45075.48655173611</v>
      </c>
      <c r="D13" s="61">
        <f ca="1">E13-30</f>
        <v>45105.48655173611</v>
      </c>
      <c r="E13" s="61">
        <f t="shared" ref="E13:J13" ca="1" si="7">E8</f>
        <v>45135.48655173611</v>
      </c>
      <c r="F13" s="61">
        <f t="shared" ca="1" si="7"/>
        <v>45165.48655173611</v>
      </c>
      <c r="G13" s="61">
        <f t="shared" ca="1" si="7"/>
        <v>45195.48655173611</v>
      </c>
      <c r="H13" s="61">
        <f t="shared" ca="1" si="7"/>
        <v>45225.48655173611</v>
      </c>
      <c r="I13" s="61">
        <f t="shared" ca="1" si="7"/>
        <v>45255.48655173611</v>
      </c>
      <c r="J13" s="84">
        <f t="shared" ca="1" si="7"/>
        <v>45285.48655173611</v>
      </c>
      <c r="L13" s="62"/>
      <c r="M13" s="130">
        <f t="shared" ref="M13:P13" ca="1" si="8">E13</f>
        <v>45135.48655173611</v>
      </c>
      <c r="N13" s="130">
        <f t="shared" ca="1" si="8"/>
        <v>45165.48655173611</v>
      </c>
      <c r="O13" s="130">
        <f t="shared" ca="1" si="8"/>
        <v>45195.48655173611</v>
      </c>
      <c r="P13" s="130">
        <f t="shared" ca="1" si="8"/>
        <v>45225.48655173611</v>
      </c>
      <c r="Q13" s="130">
        <f ca="1">I13</f>
        <v>45255.48655173611</v>
      </c>
      <c r="R13" s="131">
        <f ca="1">J13</f>
        <v>45285.48655173611</v>
      </c>
    </row>
    <row r="14" spans="2:19" s="59" customFormat="1" ht="22.5" customHeight="1" x14ac:dyDescent="0.4">
      <c r="B14" s="63" t="s">
        <v>54</v>
      </c>
      <c r="C14" s="103" t="e">
        <f>#REF!</f>
        <v>#REF!</v>
      </c>
      <c r="D14" s="103" t="e">
        <f>#REF!</f>
        <v>#REF!</v>
      </c>
      <c r="E14" s="108" t="e">
        <f>#REF!</f>
        <v>#REF!</v>
      </c>
      <c r="F14" s="108" t="e">
        <f>#REF!</f>
        <v>#REF!</v>
      </c>
      <c r="G14" s="108" t="e">
        <f>#REF!</f>
        <v>#REF!</v>
      </c>
      <c r="H14" s="108" t="e">
        <f>#REF!</f>
        <v>#REF!</v>
      </c>
      <c r="I14" s="108" t="e">
        <f>#REF!</f>
        <v>#REF!</v>
      </c>
      <c r="J14" s="108" t="e">
        <f>#REF!</f>
        <v>#REF!</v>
      </c>
      <c r="L14" s="63" t="str">
        <f>B14</f>
        <v>仕入</v>
      </c>
      <c r="M14" s="108" t="e">
        <f t="shared" ref="M14:R14" si="9">E14*$R$1</f>
        <v>#REF!</v>
      </c>
      <c r="N14" s="108" t="e">
        <f t="shared" si="9"/>
        <v>#REF!</v>
      </c>
      <c r="O14" s="108" t="e">
        <f t="shared" si="9"/>
        <v>#REF!</v>
      </c>
      <c r="P14" s="108" t="e">
        <f t="shared" si="9"/>
        <v>#REF!</v>
      </c>
      <c r="Q14" s="108" t="e">
        <f t="shared" si="9"/>
        <v>#REF!</v>
      </c>
      <c r="R14" s="108" t="e">
        <f t="shared" si="9"/>
        <v>#REF!</v>
      </c>
    </row>
    <row r="15" spans="2:19" s="59" customFormat="1" ht="22.5" customHeight="1" x14ac:dyDescent="0.4">
      <c r="B15" s="70" t="s">
        <v>77</v>
      </c>
      <c r="C15" s="104" t="e">
        <f>#REF!</f>
        <v>#REF!</v>
      </c>
      <c r="D15" s="104" t="e">
        <f>#REF!</f>
        <v>#REF!</v>
      </c>
      <c r="E15" s="106" t="e">
        <f>#REF!+E14*#REF!</f>
        <v>#REF!</v>
      </c>
      <c r="F15" s="106" t="e">
        <f>#REF!+E14*#REF!+F14*#REF!</f>
        <v>#REF!</v>
      </c>
      <c r="G15" s="106" t="e">
        <f>#REF!+E14*#REF!+F14*#REF!+G14*#REF!</f>
        <v>#REF!</v>
      </c>
      <c r="H15" s="106" t="e">
        <f>#REF!+E14*#REF!+F14*#REF!+G14*#REF!+H14*#REF!</f>
        <v>#REF!</v>
      </c>
      <c r="I15" s="106" t="e">
        <f>#REF!+E14*#REF!+F14*#REF!+G14*#REF!+H14*#REF!+I14*#REF!</f>
        <v>#REF!</v>
      </c>
      <c r="J15" s="106" t="e">
        <f>#REF!+E14*#REF!+F14*#REF!+G14*#REF!+H14*#REF!+I14*#REF!+J14*#REF!</f>
        <v>#REF!</v>
      </c>
      <c r="L15" s="70" t="str">
        <f>B15</f>
        <v>仕入支払</v>
      </c>
      <c r="M15" s="106" t="e">
        <f>#REF!+$R$1*(E14*#REF!)</f>
        <v>#REF!</v>
      </c>
      <c r="N15" s="106" t="e">
        <f>#REF!+$R$1*(E14*#REF!+F14*#REF!)</f>
        <v>#REF!</v>
      </c>
      <c r="O15" s="106" t="e">
        <f>#REF!+$R$1*(E14*#REF!+F14*#REF!+G14*#REF!)</f>
        <v>#REF!</v>
      </c>
      <c r="P15" s="106" t="e">
        <f>#REF!+$R$1*(E14*#REF!+F14*#REF!+G14*#REF!+H14*#REF!)</f>
        <v>#REF!</v>
      </c>
      <c r="Q15" s="106" t="e">
        <f>#REF!+$R$1*(E14*#REF!+F14*#REF!+G14*#REF!+H14*#REF!+I14*#REF!)</f>
        <v>#REF!</v>
      </c>
      <c r="R15" s="106" t="e">
        <f>#REF!+$R$1*(E14*#REF!+F14*#REF!+G14*#REF!+H14*#REF!+I14*#REF!+J14*#REF!)</f>
        <v>#REF!</v>
      </c>
    </row>
    <row r="16" spans="2:19" s="59" customFormat="1" ht="22.5" customHeight="1" x14ac:dyDescent="0.4">
      <c r="B16" s="67"/>
      <c r="C16" s="105"/>
      <c r="D16" s="105"/>
      <c r="E16" s="72"/>
      <c r="F16" s="72"/>
      <c r="G16" s="72"/>
      <c r="H16" s="72"/>
      <c r="I16" s="72"/>
      <c r="J16" s="72"/>
      <c r="L16" s="67"/>
      <c r="M16" s="129"/>
      <c r="N16" s="129"/>
      <c r="O16" s="129"/>
      <c r="P16" s="129"/>
      <c r="Q16" s="129"/>
      <c r="R16" s="129"/>
    </row>
    <row r="17" spans="2:18" s="59" customFormat="1" ht="22.5" customHeight="1" x14ac:dyDescent="0.4">
      <c r="B17" s="63" t="s">
        <v>78</v>
      </c>
      <c r="C17" s="103" t="e">
        <f>#REF!</f>
        <v>#REF!</v>
      </c>
      <c r="D17" s="103" t="e">
        <f>#REF!</f>
        <v>#REF!</v>
      </c>
      <c r="E17" s="108" t="e">
        <f>#REF!</f>
        <v>#REF!</v>
      </c>
      <c r="F17" s="108" t="e">
        <f>E17</f>
        <v>#REF!</v>
      </c>
      <c r="G17" s="108" t="e">
        <f>F17</f>
        <v>#REF!</v>
      </c>
      <c r="H17" s="108" t="e">
        <f t="shared" ref="H17:J17" si="10">G17</f>
        <v>#REF!</v>
      </c>
      <c r="I17" s="108" t="e">
        <f t="shared" si="10"/>
        <v>#REF!</v>
      </c>
      <c r="J17" s="108" t="e">
        <f t="shared" si="10"/>
        <v>#REF!</v>
      </c>
      <c r="L17" s="63" t="str">
        <f t="shared" ref="L17:L28" si="11">B17</f>
        <v>人件費</v>
      </c>
      <c r="M17" s="108" t="e">
        <f>E17</f>
        <v>#REF!</v>
      </c>
      <c r="N17" s="108" t="e">
        <f>F17</f>
        <v>#REF!</v>
      </c>
      <c r="O17" s="108" t="e">
        <f t="shared" ref="O17:R20" si="12">G17</f>
        <v>#REF!</v>
      </c>
      <c r="P17" s="108" t="e">
        <f t="shared" si="12"/>
        <v>#REF!</v>
      </c>
      <c r="Q17" s="108" t="e">
        <f t="shared" si="12"/>
        <v>#REF!</v>
      </c>
      <c r="R17" s="108" t="e">
        <f t="shared" si="12"/>
        <v>#REF!</v>
      </c>
    </row>
    <row r="18" spans="2:18" s="59" customFormat="1" ht="22.5" customHeight="1" x14ac:dyDescent="0.4">
      <c r="B18" s="63" t="s">
        <v>79</v>
      </c>
      <c r="C18" s="103" t="e">
        <f>#REF!</f>
        <v>#REF!</v>
      </c>
      <c r="D18" s="103" t="e">
        <f>#REF!</f>
        <v>#REF!</v>
      </c>
      <c r="E18" s="108" t="e">
        <f>#REF!</f>
        <v>#REF!</v>
      </c>
      <c r="F18" s="108" t="e">
        <f t="shared" ref="F18:J20" si="13">E18</f>
        <v>#REF!</v>
      </c>
      <c r="G18" s="108" t="e">
        <f t="shared" si="13"/>
        <v>#REF!</v>
      </c>
      <c r="H18" s="108" t="e">
        <f t="shared" si="13"/>
        <v>#REF!</v>
      </c>
      <c r="I18" s="108" t="e">
        <f t="shared" si="13"/>
        <v>#REF!</v>
      </c>
      <c r="J18" s="108" t="e">
        <f t="shared" si="13"/>
        <v>#REF!</v>
      </c>
      <c r="L18" s="63" t="str">
        <f t="shared" si="11"/>
        <v>営業経費</v>
      </c>
      <c r="M18" s="108" t="e">
        <f>E18</f>
        <v>#REF!</v>
      </c>
      <c r="N18" s="108" t="e">
        <f t="shared" ref="N18:N20" si="14">F18</f>
        <v>#REF!</v>
      </c>
      <c r="O18" s="108" t="e">
        <f t="shared" si="12"/>
        <v>#REF!</v>
      </c>
      <c r="P18" s="108" t="e">
        <f t="shared" si="12"/>
        <v>#REF!</v>
      </c>
      <c r="Q18" s="108" t="e">
        <f t="shared" si="12"/>
        <v>#REF!</v>
      </c>
      <c r="R18" s="108" t="e">
        <f t="shared" si="12"/>
        <v>#REF!</v>
      </c>
    </row>
    <row r="19" spans="2:18" s="59" customFormat="1" ht="22.5" customHeight="1" x14ac:dyDescent="0.4">
      <c r="B19" s="63" t="s">
        <v>81</v>
      </c>
      <c r="C19" s="103" t="e">
        <f>#REF!</f>
        <v>#REF!</v>
      </c>
      <c r="D19" s="103" t="e">
        <f>#REF!</f>
        <v>#REF!</v>
      </c>
      <c r="E19" s="108" t="e">
        <f>#REF!</f>
        <v>#REF!</v>
      </c>
      <c r="F19" s="108" t="e">
        <f t="shared" si="13"/>
        <v>#REF!</v>
      </c>
      <c r="G19" s="108" t="e">
        <f t="shared" si="13"/>
        <v>#REF!</v>
      </c>
      <c r="H19" s="108" t="e">
        <f t="shared" si="13"/>
        <v>#REF!</v>
      </c>
      <c r="I19" s="108" t="e">
        <f t="shared" si="13"/>
        <v>#REF!</v>
      </c>
      <c r="J19" s="108" t="e">
        <f t="shared" si="13"/>
        <v>#REF!</v>
      </c>
      <c r="L19" s="63" t="str">
        <f t="shared" si="11"/>
        <v>税金・社会保険料</v>
      </c>
      <c r="M19" s="108" t="e">
        <f t="shared" ref="M19:M20" si="15">E19</f>
        <v>#REF!</v>
      </c>
      <c r="N19" s="108" t="e">
        <f t="shared" si="14"/>
        <v>#REF!</v>
      </c>
      <c r="O19" s="108" t="e">
        <f t="shared" si="12"/>
        <v>#REF!</v>
      </c>
      <c r="P19" s="108" t="e">
        <f t="shared" si="12"/>
        <v>#REF!</v>
      </c>
      <c r="Q19" s="108" t="e">
        <f t="shared" si="12"/>
        <v>#REF!</v>
      </c>
      <c r="R19" s="108" t="e">
        <f t="shared" si="12"/>
        <v>#REF!</v>
      </c>
    </row>
    <row r="20" spans="2:18" s="59" customFormat="1" ht="22.5" customHeight="1" x14ac:dyDescent="0.4">
      <c r="B20" s="63" t="s">
        <v>151</v>
      </c>
      <c r="C20" s="103" t="e">
        <f>#REF!</f>
        <v>#REF!</v>
      </c>
      <c r="D20" s="103" t="e">
        <f>#REF!</f>
        <v>#REF!</v>
      </c>
      <c r="E20" s="108" t="e">
        <f>#REF!</f>
        <v>#REF!</v>
      </c>
      <c r="F20" s="108" t="e">
        <f t="shared" si="13"/>
        <v>#REF!</v>
      </c>
      <c r="G20" s="108" t="e">
        <f t="shared" si="13"/>
        <v>#REF!</v>
      </c>
      <c r="H20" s="108" t="e">
        <f t="shared" si="13"/>
        <v>#REF!</v>
      </c>
      <c r="I20" s="108" t="e">
        <f t="shared" si="13"/>
        <v>#REF!</v>
      </c>
      <c r="J20" s="108" t="e">
        <f t="shared" si="13"/>
        <v>#REF!</v>
      </c>
      <c r="L20" s="63" t="str">
        <f t="shared" si="11"/>
        <v>リース・利息・その他</v>
      </c>
      <c r="M20" s="108" t="e">
        <f t="shared" si="15"/>
        <v>#REF!</v>
      </c>
      <c r="N20" s="108" t="e">
        <f t="shared" si="14"/>
        <v>#REF!</v>
      </c>
      <c r="O20" s="108" t="e">
        <f t="shared" si="12"/>
        <v>#REF!</v>
      </c>
      <c r="P20" s="108" t="e">
        <f t="shared" si="12"/>
        <v>#REF!</v>
      </c>
      <c r="Q20" s="108" t="e">
        <f t="shared" si="12"/>
        <v>#REF!</v>
      </c>
      <c r="R20" s="108" t="e">
        <f t="shared" si="12"/>
        <v>#REF!</v>
      </c>
    </row>
    <row r="21" spans="2:18" s="59" customFormat="1" ht="22.5" customHeight="1" x14ac:dyDescent="0.4">
      <c r="B21" s="70" t="s">
        <v>124</v>
      </c>
      <c r="C21" s="124" t="e">
        <f t="shared" ref="C21:J21" si="16">C15+SUM(C17:C20)</f>
        <v>#REF!</v>
      </c>
      <c r="D21" s="124" t="e">
        <f t="shared" si="16"/>
        <v>#REF!</v>
      </c>
      <c r="E21" s="106" t="e">
        <f t="shared" si="16"/>
        <v>#REF!</v>
      </c>
      <c r="F21" s="106" t="e">
        <f t="shared" si="16"/>
        <v>#REF!</v>
      </c>
      <c r="G21" s="106" t="e">
        <f t="shared" si="16"/>
        <v>#REF!</v>
      </c>
      <c r="H21" s="106" t="e">
        <f t="shared" si="16"/>
        <v>#REF!</v>
      </c>
      <c r="I21" s="106" t="e">
        <f t="shared" si="16"/>
        <v>#REF!</v>
      </c>
      <c r="J21" s="106" t="e">
        <f t="shared" si="16"/>
        <v>#REF!</v>
      </c>
      <c r="L21" s="70" t="str">
        <f t="shared" si="11"/>
        <v>経常支出</v>
      </c>
      <c r="M21" s="106" t="e">
        <f t="shared" ref="M21:R21" si="17">M15+SUM(M17:M20)</f>
        <v>#REF!</v>
      </c>
      <c r="N21" s="106" t="e">
        <f t="shared" si="17"/>
        <v>#REF!</v>
      </c>
      <c r="O21" s="106" t="e">
        <f t="shared" si="17"/>
        <v>#REF!</v>
      </c>
      <c r="P21" s="106" t="e">
        <f t="shared" si="17"/>
        <v>#REF!</v>
      </c>
      <c r="Q21" s="106" t="e">
        <f t="shared" si="17"/>
        <v>#REF!</v>
      </c>
      <c r="R21" s="106" t="e">
        <f t="shared" si="17"/>
        <v>#REF!</v>
      </c>
    </row>
    <row r="22" spans="2:18" s="59" customFormat="1" ht="22.5" customHeight="1" x14ac:dyDescent="0.4">
      <c r="B22" s="70" t="s">
        <v>123</v>
      </c>
      <c r="C22" s="106" t="e">
        <f t="shared" ref="C22:J22" si="18">C11-C21</f>
        <v>#REF!</v>
      </c>
      <c r="D22" s="106" t="e">
        <f t="shared" si="18"/>
        <v>#REF!</v>
      </c>
      <c r="E22" s="106" t="e">
        <f t="shared" si="18"/>
        <v>#REF!</v>
      </c>
      <c r="F22" s="106" t="e">
        <f t="shared" si="18"/>
        <v>#REF!</v>
      </c>
      <c r="G22" s="106" t="e">
        <f t="shared" si="18"/>
        <v>#REF!</v>
      </c>
      <c r="H22" s="106" t="e">
        <f t="shared" si="18"/>
        <v>#REF!</v>
      </c>
      <c r="I22" s="106" t="e">
        <f t="shared" si="18"/>
        <v>#REF!</v>
      </c>
      <c r="J22" s="106" t="e">
        <f t="shared" si="18"/>
        <v>#REF!</v>
      </c>
      <c r="L22" s="70" t="str">
        <f t="shared" si="11"/>
        <v>経常収支</v>
      </c>
      <c r="M22" s="106" t="e">
        <f t="shared" ref="M22:R22" si="19">M11-M21</f>
        <v>#REF!</v>
      </c>
      <c r="N22" s="106" t="e">
        <f t="shared" si="19"/>
        <v>#REF!</v>
      </c>
      <c r="O22" s="106" t="e">
        <f t="shared" si="19"/>
        <v>#REF!</v>
      </c>
      <c r="P22" s="106" t="e">
        <f t="shared" si="19"/>
        <v>#REF!</v>
      </c>
      <c r="Q22" s="106" t="e">
        <f t="shared" si="19"/>
        <v>#REF!</v>
      </c>
      <c r="R22" s="106" t="e">
        <f t="shared" si="19"/>
        <v>#REF!</v>
      </c>
    </row>
    <row r="23" spans="2:18" s="59" customFormat="1" ht="22.5" customHeight="1" x14ac:dyDescent="0.4">
      <c r="B23" s="63" t="s">
        <v>95</v>
      </c>
      <c r="C23" s="103"/>
      <c r="D23" s="103"/>
      <c r="E23" s="108"/>
      <c r="F23" s="108"/>
      <c r="G23" s="108"/>
      <c r="H23" s="108"/>
      <c r="I23" s="108"/>
      <c r="J23" s="108"/>
      <c r="L23" s="63" t="str">
        <f t="shared" si="11"/>
        <v>借入金調達</v>
      </c>
      <c r="M23" s="108">
        <f>E23</f>
        <v>0</v>
      </c>
      <c r="N23" s="108">
        <f t="shared" ref="N23:R24" si="20">F23</f>
        <v>0</v>
      </c>
      <c r="O23" s="108">
        <f t="shared" si="20"/>
        <v>0</v>
      </c>
      <c r="P23" s="108">
        <f t="shared" si="20"/>
        <v>0</v>
      </c>
      <c r="Q23" s="108">
        <f t="shared" si="20"/>
        <v>0</v>
      </c>
      <c r="R23" s="108">
        <f t="shared" si="20"/>
        <v>0</v>
      </c>
    </row>
    <row r="24" spans="2:18" s="59" customFormat="1" ht="22.5" customHeight="1" x14ac:dyDescent="0.4">
      <c r="B24" s="63" t="s">
        <v>80</v>
      </c>
      <c r="C24" s="103" t="e">
        <f>#REF!</f>
        <v>#REF!</v>
      </c>
      <c r="D24" s="103" t="e">
        <f>C24</f>
        <v>#REF!</v>
      </c>
      <c r="E24" s="103" t="e">
        <f>D24</f>
        <v>#REF!</v>
      </c>
      <c r="F24" s="103" t="e">
        <f t="shared" ref="F24:I24" si="21">E24</f>
        <v>#REF!</v>
      </c>
      <c r="G24" s="103" t="e">
        <f t="shared" si="21"/>
        <v>#REF!</v>
      </c>
      <c r="H24" s="103" t="e">
        <f t="shared" si="21"/>
        <v>#REF!</v>
      </c>
      <c r="I24" s="103" t="e">
        <f t="shared" si="21"/>
        <v>#REF!</v>
      </c>
      <c r="J24" s="103" t="e">
        <f>I24</f>
        <v>#REF!</v>
      </c>
      <c r="L24" s="63" t="str">
        <f t="shared" si="11"/>
        <v>借入金返済</v>
      </c>
      <c r="M24" s="108" t="e">
        <f>E24</f>
        <v>#REF!</v>
      </c>
      <c r="N24" s="108" t="e">
        <f t="shared" si="20"/>
        <v>#REF!</v>
      </c>
      <c r="O24" s="108" t="e">
        <f t="shared" si="20"/>
        <v>#REF!</v>
      </c>
      <c r="P24" s="108" t="e">
        <f t="shared" si="20"/>
        <v>#REF!</v>
      </c>
      <c r="Q24" s="108" t="e">
        <f t="shared" si="20"/>
        <v>#REF!</v>
      </c>
      <c r="R24" s="108" t="e">
        <f t="shared" si="20"/>
        <v>#REF!</v>
      </c>
    </row>
    <row r="25" spans="2:18" s="59" customFormat="1" ht="22.5" customHeight="1" x14ac:dyDescent="0.4">
      <c r="B25" s="63" t="s">
        <v>147</v>
      </c>
      <c r="C25" s="103"/>
      <c r="D25" s="103"/>
      <c r="E25" s="108"/>
      <c r="F25" s="108"/>
      <c r="G25" s="108"/>
      <c r="H25" s="108"/>
      <c r="I25" s="108"/>
      <c r="J25" s="108"/>
      <c r="L25" s="63" t="str">
        <f t="shared" si="11"/>
        <v>設備投資</v>
      </c>
      <c r="M25" s="108"/>
      <c r="N25" s="108"/>
      <c r="O25" s="108"/>
      <c r="P25" s="108"/>
      <c r="Q25" s="108"/>
      <c r="R25" s="108"/>
    </row>
    <row r="26" spans="2:18" s="59" customFormat="1" ht="22.5" customHeight="1" x14ac:dyDescent="0.4">
      <c r="B26" s="70" t="s">
        <v>152</v>
      </c>
      <c r="C26" s="107" t="e">
        <f>C23-C24+C25</f>
        <v>#REF!</v>
      </c>
      <c r="D26" s="107" t="e">
        <f t="shared" ref="D26:J26" si="22">D23-D24+D25</f>
        <v>#REF!</v>
      </c>
      <c r="E26" s="107" t="e">
        <f t="shared" si="22"/>
        <v>#REF!</v>
      </c>
      <c r="F26" s="107" t="e">
        <f t="shared" si="22"/>
        <v>#REF!</v>
      </c>
      <c r="G26" s="107" t="e">
        <f t="shared" si="22"/>
        <v>#REF!</v>
      </c>
      <c r="H26" s="107" t="e">
        <f t="shared" si="22"/>
        <v>#REF!</v>
      </c>
      <c r="I26" s="107" t="e">
        <f t="shared" si="22"/>
        <v>#REF!</v>
      </c>
      <c r="J26" s="107" t="e">
        <f t="shared" si="22"/>
        <v>#REF!</v>
      </c>
      <c r="L26" s="70" t="str">
        <f t="shared" si="11"/>
        <v>財務収支他</v>
      </c>
      <c r="M26" s="107" t="e">
        <f>M23-M24+M25</f>
        <v>#REF!</v>
      </c>
      <c r="N26" s="107" t="e">
        <f t="shared" ref="N26:R26" si="23">N23-N24+N25</f>
        <v>#REF!</v>
      </c>
      <c r="O26" s="107" t="e">
        <f t="shared" si="23"/>
        <v>#REF!</v>
      </c>
      <c r="P26" s="107" t="e">
        <f t="shared" si="23"/>
        <v>#REF!</v>
      </c>
      <c r="Q26" s="107" t="e">
        <f t="shared" si="23"/>
        <v>#REF!</v>
      </c>
      <c r="R26" s="107" t="e">
        <f t="shared" si="23"/>
        <v>#REF!</v>
      </c>
    </row>
    <row r="27" spans="2:18" s="59" customFormat="1" ht="22.5" customHeight="1" x14ac:dyDescent="0.4">
      <c r="B27" s="70" t="s">
        <v>84</v>
      </c>
      <c r="C27" s="107" t="e">
        <f t="shared" ref="C27:J27" si="24">C22+C26</f>
        <v>#REF!</v>
      </c>
      <c r="D27" s="107" t="e">
        <f t="shared" si="24"/>
        <v>#REF!</v>
      </c>
      <c r="E27" s="107" t="e">
        <f t="shared" si="24"/>
        <v>#REF!</v>
      </c>
      <c r="F27" s="107" t="e">
        <f t="shared" si="24"/>
        <v>#REF!</v>
      </c>
      <c r="G27" s="107" t="e">
        <f t="shared" si="24"/>
        <v>#REF!</v>
      </c>
      <c r="H27" s="107" t="e">
        <f t="shared" si="24"/>
        <v>#REF!</v>
      </c>
      <c r="I27" s="107" t="e">
        <f t="shared" si="24"/>
        <v>#REF!</v>
      </c>
      <c r="J27" s="107" t="e">
        <f t="shared" si="24"/>
        <v>#REF!</v>
      </c>
      <c r="L27" s="70" t="str">
        <f t="shared" si="11"/>
        <v>当月収支</v>
      </c>
      <c r="M27" s="107" t="e">
        <f t="shared" ref="M27:R27" si="25">M22+M26</f>
        <v>#REF!</v>
      </c>
      <c r="N27" s="107" t="e">
        <f t="shared" si="25"/>
        <v>#REF!</v>
      </c>
      <c r="O27" s="107" t="e">
        <f t="shared" si="25"/>
        <v>#REF!</v>
      </c>
      <c r="P27" s="107" t="e">
        <f t="shared" si="25"/>
        <v>#REF!</v>
      </c>
      <c r="Q27" s="107" t="e">
        <f t="shared" si="25"/>
        <v>#REF!</v>
      </c>
      <c r="R27" s="107" t="e">
        <f t="shared" si="25"/>
        <v>#REF!</v>
      </c>
    </row>
    <row r="28" spans="2:18" s="59" customFormat="1" ht="22.5" customHeight="1" x14ac:dyDescent="0.4">
      <c r="B28" s="77" t="s">
        <v>85</v>
      </c>
      <c r="C28" s="125" t="e">
        <f t="shared" ref="C28:J28" si="26">C6+C27</f>
        <v>#REF!</v>
      </c>
      <c r="D28" s="125" t="e">
        <f t="shared" si="26"/>
        <v>#REF!</v>
      </c>
      <c r="E28" s="125" t="e">
        <f t="shared" si="26"/>
        <v>#REF!</v>
      </c>
      <c r="F28" s="125" t="e">
        <f t="shared" si="26"/>
        <v>#REF!</v>
      </c>
      <c r="G28" s="125" t="e">
        <f t="shared" si="26"/>
        <v>#REF!</v>
      </c>
      <c r="H28" s="125" t="e">
        <f t="shared" si="26"/>
        <v>#REF!</v>
      </c>
      <c r="I28" s="125" t="e">
        <f t="shared" si="26"/>
        <v>#REF!</v>
      </c>
      <c r="J28" s="125" t="e">
        <f t="shared" si="26"/>
        <v>#REF!</v>
      </c>
      <c r="L28" s="77" t="str">
        <f t="shared" si="11"/>
        <v>月末現金残高</v>
      </c>
      <c r="M28" s="125" t="e">
        <f t="shared" ref="M28:R28" si="27">M6+M27</f>
        <v>#REF!</v>
      </c>
      <c r="N28" s="125" t="e">
        <f t="shared" si="27"/>
        <v>#REF!</v>
      </c>
      <c r="O28" s="125" t="e">
        <f t="shared" si="27"/>
        <v>#REF!</v>
      </c>
      <c r="P28" s="125" t="e">
        <f t="shared" si="27"/>
        <v>#REF!</v>
      </c>
      <c r="Q28" s="125" t="e">
        <f t="shared" si="27"/>
        <v>#REF!</v>
      </c>
      <c r="R28" s="125" t="e">
        <f t="shared" si="27"/>
        <v>#REF!</v>
      </c>
    </row>
    <row r="33" spans="2:13" x14ac:dyDescent="0.4">
      <c r="I33" s="228"/>
      <c r="J33" s="228"/>
      <c r="K33" s="46"/>
      <c r="L33" s="46"/>
      <c r="M33" s="46"/>
    </row>
    <row r="34" spans="2:13" x14ac:dyDescent="0.4">
      <c r="B34"/>
      <c r="C34"/>
      <c r="D34"/>
      <c r="E34" s="229"/>
      <c r="F34" s="229"/>
      <c r="G34" s="96"/>
      <c r="H34" s="55"/>
      <c r="I34" s="55"/>
      <c r="J34" s="55"/>
      <c r="K34" s="110"/>
      <c r="L34" s="110"/>
      <c r="M34" s="96"/>
    </row>
    <row r="35" spans="2:13" x14ac:dyDescent="0.4">
      <c r="B35"/>
      <c r="C35"/>
      <c r="D35"/>
      <c r="E35" s="55"/>
      <c r="F35" s="55"/>
      <c r="G35" s="96"/>
      <c r="H35" s="55"/>
      <c r="I35" s="55"/>
      <c r="J35" s="55"/>
      <c r="K35" s="55"/>
      <c r="L35" s="55"/>
      <c r="M35" s="96"/>
    </row>
    <row r="36" spans="2:13" x14ac:dyDescent="0.4">
      <c r="B36"/>
      <c r="C36"/>
      <c r="D36"/>
      <c r="E36" s="55"/>
      <c r="F36" s="55"/>
      <c r="G36" s="96"/>
      <c r="H36" s="55"/>
      <c r="I36" s="223"/>
      <c r="J36" s="223"/>
      <c r="K36" s="55"/>
      <c r="L36" s="55"/>
      <c r="M36" s="96"/>
    </row>
  </sheetData>
  <mergeCells count="6">
    <mergeCell ref="I36:J36"/>
    <mergeCell ref="E1:P1"/>
    <mergeCell ref="B4:G4"/>
    <mergeCell ref="L4:O4"/>
    <mergeCell ref="I33:J33"/>
    <mergeCell ref="E34:F34"/>
  </mergeCells>
  <phoneticPr fontId="3"/>
  <pageMargins left="0.7" right="0.7" top="0.75" bottom="0.75" header="0.3" footer="0.3"/>
  <pageSetup paperSize="9" scale="56"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1304AE-4848-4ACD-A34C-0427667B73F0}">
  <sheetPr>
    <tabColor rgb="FFFF0000"/>
    <pageSetUpPr fitToPage="1"/>
  </sheetPr>
  <dimension ref="B1:S38"/>
  <sheetViews>
    <sheetView view="pageBreakPreview" topLeftCell="D25" zoomScaleNormal="55" zoomScaleSheetLayoutView="100" workbookViewId="0">
      <selection activeCell="M2" sqref="M2"/>
    </sheetView>
  </sheetViews>
  <sheetFormatPr defaultRowHeight="18.75" x14ac:dyDescent="0.4"/>
  <cols>
    <col min="1" max="1" width="6" customWidth="1"/>
    <col min="2" max="2" width="44.875" customWidth="1"/>
    <col min="3" max="3" width="95.25" bestFit="1" customWidth="1"/>
    <col min="4" max="4" width="6.375" customWidth="1"/>
    <col min="6" max="6" width="5.25" bestFit="1" customWidth="1"/>
    <col min="7" max="7" width="5.25" customWidth="1"/>
    <col min="8" max="8" width="7.125" customWidth="1"/>
    <col min="10" max="10" width="5.25" bestFit="1" customWidth="1"/>
    <col min="11" max="11" width="5.25" customWidth="1"/>
    <col min="12" max="12" width="6.125" customWidth="1"/>
    <col min="13" max="13" width="9.75" customWidth="1"/>
    <col min="15" max="15" width="5.25" bestFit="1" customWidth="1"/>
    <col min="16" max="16" width="5.25" customWidth="1"/>
  </cols>
  <sheetData>
    <row r="1" spans="2:19" x14ac:dyDescent="0.4">
      <c r="B1" s="117" t="s">
        <v>164</v>
      </c>
    </row>
    <row r="2" spans="2:19" x14ac:dyDescent="0.4">
      <c r="B2" s="44" t="s">
        <v>125</v>
      </c>
      <c r="C2" t="s">
        <v>127</v>
      </c>
      <c r="D2" s="79" t="s">
        <v>46</v>
      </c>
      <c r="E2" s="45">
        <v>3120</v>
      </c>
      <c r="F2" s="46" t="s">
        <v>45</v>
      </c>
      <c r="G2" s="46"/>
      <c r="H2" s="100" t="s">
        <v>76</v>
      </c>
      <c r="I2" s="45">
        <v>2744</v>
      </c>
      <c r="J2" t="s">
        <v>45</v>
      </c>
      <c r="M2" s="79" t="s">
        <v>54</v>
      </c>
      <c r="N2" s="98">
        <v>1642</v>
      </c>
      <c r="O2" s="46" t="s">
        <v>45</v>
      </c>
      <c r="P2" s="46"/>
      <c r="Q2" s="100" t="s">
        <v>126</v>
      </c>
      <c r="R2" s="98">
        <v>1511</v>
      </c>
      <c r="S2" t="s">
        <v>45</v>
      </c>
    </row>
    <row r="3" spans="2:19" x14ac:dyDescent="0.4">
      <c r="C3" t="s">
        <v>128</v>
      </c>
      <c r="D3" s="79" t="s">
        <v>46</v>
      </c>
      <c r="E3" s="45">
        <v>1985</v>
      </c>
      <c r="F3" s="46" t="s">
        <v>45</v>
      </c>
      <c r="G3" s="46"/>
      <c r="H3" s="100" t="s">
        <v>76</v>
      </c>
      <c r="I3" s="45">
        <v>2350</v>
      </c>
      <c r="J3" t="s">
        <v>45</v>
      </c>
      <c r="M3" s="79" t="s">
        <v>54</v>
      </c>
      <c r="N3" s="98">
        <v>1197</v>
      </c>
      <c r="O3" s="46" t="s">
        <v>45</v>
      </c>
      <c r="P3" s="46"/>
      <c r="Q3" s="100" t="s">
        <v>126</v>
      </c>
      <c r="R3" s="98">
        <v>1011</v>
      </c>
      <c r="S3" t="s">
        <v>45</v>
      </c>
    </row>
    <row r="4" spans="2:19" ht="18.75" customHeight="1" x14ac:dyDescent="0.4">
      <c r="B4" s="44" t="s">
        <v>52</v>
      </c>
      <c r="C4" t="s">
        <v>53</v>
      </c>
      <c r="D4" s="79" t="s">
        <v>46</v>
      </c>
      <c r="E4" s="45">
        <v>2000</v>
      </c>
      <c r="F4" s="46" t="s">
        <v>45</v>
      </c>
      <c r="G4" s="46"/>
      <c r="H4" s="100" t="s">
        <v>54</v>
      </c>
      <c r="I4" s="45">
        <v>1500</v>
      </c>
      <c r="J4" t="s">
        <v>45</v>
      </c>
      <c r="L4" s="109" t="s">
        <v>143</v>
      </c>
      <c r="M4" s="101" t="s">
        <v>131</v>
      </c>
      <c r="N4" s="98">
        <v>600</v>
      </c>
      <c r="O4" s="46" t="s">
        <v>45</v>
      </c>
      <c r="P4" s="46"/>
      <c r="Q4" s="101" t="s">
        <v>137</v>
      </c>
      <c r="R4" s="98">
        <v>300</v>
      </c>
      <c r="S4" t="s">
        <v>45</v>
      </c>
    </row>
    <row r="5" spans="2:19" ht="18.75" customHeight="1" x14ac:dyDescent="0.4">
      <c r="C5" t="s">
        <v>55</v>
      </c>
      <c r="D5" s="79" t="s">
        <v>46</v>
      </c>
      <c r="E5" s="45">
        <v>2500</v>
      </c>
      <c r="F5" s="46" t="s">
        <v>45</v>
      </c>
      <c r="G5" s="46"/>
      <c r="H5" s="100" t="s">
        <v>54</v>
      </c>
      <c r="I5" s="45">
        <v>1200</v>
      </c>
      <c r="J5" t="s">
        <v>45</v>
      </c>
      <c r="L5" s="230" t="s">
        <v>144</v>
      </c>
      <c r="M5" s="101" t="s">
        <v>132</v>
      </c>
      <c r="N5" s="98">
        <v>300</v>
      </c>
      <c r="O5" s="46" t="s">
        <v>45</v>
      </c>
      <c r="P5" s="46"/>
      <c r="Q5" s="101" t="s">
        <v>138</v>
      </c>
      <c r="R5" s="98">
        <v>100</v>
      </c>
      <c r="S5" t="s">
        <v>45</v>
      </c>
    </row>
    <row r="6" spans="2:19" ht="18.75" customHeight="1" x14ac:dyDescent="0.4">
      <c r="C6" t="s">
        <v>56</v>
      </c>
      <c r="D6" s="79" t="s">
        <v>46</v>
      </c>
      <c r="E6" s="45">
        <v>2000</v>
      </c>
      <c r="F6" s="46" t="s">
        <v>45</v>
      </c>
      <c r="G6" s="46"/>
      <c r="H6" s="100" t="s">
        <v>54</v>
      </c>
      <c r="I6" s="45">
        <v>1000</v>
      </c>
      <c r="J6" t="s">
        <v>45</v>
      </c>
      <c r="L6" s="230"/>
      <c r="M6" s="101" t="s">
        <v>133</v>
      </c>
      <c r="N6" s="98"/>
      <c r="O6" s="46" t="s">
        <v>45</v>
      </c>
      <c r="P6" s="46"/>
      <c r="Q6" s="101" t="s">
        <v>139</v>
      </c>
      <c r="R6" s="98"/>
      <c r="S6" t="s">
        <v>45</v>
      </c>
    </row>
    <row r="7" spans="2:19" x14ac:dyDescent="0.4">
      <c r="C7" t="s">
        <v>57</v>
      </c>
      <c r="D7" s="79" t="s">
        <v>46</v>
      </c>
      <c r="E7" s="45">
        <v>3000</v>
      </c>
      <c r="F7" s="46" t="s">
        <v>45</v>
      </c>
      <c r="G7" s="46"/>
      <c r="H7" s="100" t="s">
        <v>54</v>
      </c>
      <c r="I7" s="45">
        <v>1500</v>
      </c>
      <c r="J7" t="s">
        <v>45</v>
      </c>
      <c r="L7" s="230"/>
      <c r="M7" s="101" t="s">
        <v>134</v>
      </c>
      <c r="N7" s="98"/>
      <c r="O7" s="46" t="s">
        <v>45</v>
      </c>
      <c r="P7" s="46"/>
      <c r="Q7" s="101" t="s">
        <v>140</v>
      </c>
      <c r="R7" s="98"/>
      <c r="S7" t="s">
        <v>45</v>
      </c>
    </row>
    <row r="8" spans="2:19" x14ac:dyDescent="0.4">
      <c r="C8" t="s">
        <v>58</v>
      </c>
      <c r="D8" s="79" t="s">
        <v>46</v>
      </c>
      <c r="E8" s="45">
        <v>3000</v>
      </c>
      <c r="F8" s="46" t="s">
        <v>45</v>
      </c>
      <c r="G8" s="46"/>
      <c r="H8" s="100" t="s">
        <v>54</v>
      </c>
      <c r="I8" s="45">
        <v>1500</v>
      </c>
      <c r="J8" t="s">
        <v>45</v>
      </c>
      <c r="L8" s="230"/>
      <c r="M8" s="101" t="s">
        <v>135</v>
      </c>
      <c r="N8" s="98"/>
      <c r="O8" s="46" t="s">
        <v>45</v>
      </c>
      <c r="P8" s="46"/>
      <c r="Q8" s="101" t="s">
        <v>141</v>
      </c>
      <c r="R8" s="98"/>
      <c r="S8" t="s">
        <v>45</v>
      </c>
    </row>
    <row r="9" spans="2:19" x14ac:dyDescent="0.4">
      <c r="C9" t="s">
        <v>59</v>
      </c>
      <c r="D9" s="79" t="s">
        <v>46</v>
      </c>
      <c r="E9" s="45">
        <v>2000</v>
      </c>
      <c r="F9" s="46" t="s">
        <v>45</v>
      </c>
      <c r="G9" s="46"/>
      <c r="H9" s="100" t="s">
        <v>54</v>
      </c>
      <c r="I9" s="45">
        <v>1000</v>
      </c>
      <c r="J9" t="s">
        <v>45</v>
      </c>
      <c r="L9" s="231"/>
      <c r="M9" s="101" t="s">
        <v>136</v>
      </c>
      <c r="N9" s="98"/>
      <c r="O9" s="46" t="s">
        <v>45</v>
      </c>
      <c r="P9" s="46"/>
      <c r="Q9" s="101" t="s">
        <v>142</v>
      </c>
      <c r="R9" s="98"/>
      <c r="S9" t="s">
        <v>45</v>
      </c>
    </row>
    <row r="10" spans="2:19" x14ac:dyDescent="0.4">
      <c r="D10" s="116"/>
      <c r="E10" s="120"/>
      <c r="F10" s="46"/>
      <c r="G10" s="46"/>
      <c r="H10" s="120"/>
      <c r="I10" s="120"/>
      <c r="L10" s="113"/>
      <c r="M10" s="121"/>
      <c r="N10" s="120"/>
      <c r="O10" s="46"/>
      <c r="P10" s="46"/>
      <c r="Q10" s="114"/>
      <c r="R10" s="46"/>
    </row>
    <row r="11" spans="2:19" x14ac:dyDescent="0.4">
      <c r="B11" s="117" t="s">
        <v>166</v>
      </c>
      <c r="E11" s="118"/>
      <c r="F11" s="46"/>
      <c r="G11" s="46"/>
      <c r="H11" s="118"/>
      <c r="I11" s="118"/>
      <c r="L11" s="113"/>
      <c r="M11" s="119"/>
      <c r="N11" s="118"/>
      <c r="O11" s="46"/>
      <c r="P11" s="46"/>
      <c r="Q11" s="114"/>
      <c r="R11" s="46"/>
    </row>
    <row r="12" spans="2:19" ht="18.75" customHeight="1" x14ac:dyDescent="0.4">
      <c r="B12" t="s">
        <v>60</v>
      </c>
      <c r="C12" t="s">
        <v>61</v>
      </c>
      <c r="E12" s="45">
        <v>250</v>
      </c>
      <c r="F12" t="s">
        <v>45</v>
      </c>
      <c r="H12" s="232" t="s">
        <v>129</v>
      </c>
      <c r="I12" s="99">
        <v>250</v>
      </c>
      <c r="J12" t="s">
        <v>45</v>
      </c>
      <c r="M12" s="232" t="s">
        <v>130</v>
      </c>
      <c r="N12" s="45">
        <v>250</v>
      </c>
      <c r="O12" t="s">
        <v>45</v>
      </c>
    </row>
    <row r="13" spans="2:19" x14ac:dyDescent="0.4">
      <c r="C13" t="s">
        <v>170</v>
      </c>
      <c r="E13" s="45">
        <v>700</v>
      </c>
      <c r="F13" t="s">
        <v>45</v>
      </c>
      <c r="H13" s="233"/>
      <c r="I13" s="45">
        <v>700</v>
      </c>
      <c r="J13" t="s">
        <v>45</v>
      </c>
      <c r="M13" s="233"/>
      <c r="N13" s="45">
        <v>700</v>
      </c>
      <c r="O13" t="s">
        <v>45</v>
      </c>
    </row>
    <row r="14" spans="2:19" x14ac:dyDescent="0.4">
      <c r="C14" t="s">
        <v>103</v>
      </c>
      <c r="E14" s="45">
        <v>50</v>
      </c>
      <c r="F14" t="s">
        <v>45</v>
      </c>
      <c r="H14" s="233"/>
      <c r="I14" s="45">
        <v>50</v>
      </c>
      <c r="J14" t="s">
        <v>45</v>
      </c>
      <c r="M14" s="233"/>
      <c r="N14" s="45">
        <v>50</v>
      </c>
      <c r="O14" t="s">
        <v>45</v>
      </c>
    </row>
    <row r="15" spans="2:19" x14ac:dyDescent="0.4">
      <c r="C15" t="s">
        <v>160</v>
      </c>
      <c r="E15" s="45">
        <v>175</v>
      </c>
      <c r="F15" t="s">
        <v>45</v>
      </c>
      <c r="H15" s="233"/>
      <c r="I15" s="45">
        <v>175</v>
      </c>
      <c r="J15" t="s">
        <v>45</v>
      </c>
      <c r="M15" s="233"/>
      <c r="N15" s="45">
        <v>175</v>
      </c>
      <c r="O15" t="s">
        <v>45</v>
      </c>
    </row>
    <row r="16" spans="2:19" x14ac:dyDescent="0.4">
      <c r="B16" s="117" t="s">
        <v>165</v>
      </c>
      <c r="E16" s="115"/>
      <c r="H16" s="233"/>
      <c r="I16" s="97"/>
      <c r="M16" s="233"/>
      <c r="N16" s="97"/>
    </row>
    <row r="17" spans="2:15" x14ac:dyDescent="0.4">
      <c r="B17" t="s">
        <v>169</v>
      </c>
      <c r="C17" t="s">
        <v>64</v>
      </c>
      <c r="E17" s="45">
        <v>250</v>
      </c>
      <c r="F17" t="s">
        <v>45</v>
      </c>
      <c r="H17" s="233"/>
      <c r="I17" s="45">
        <v>250</v>
      </c>
      <c r="J17" t="s">
        <v>45</v>
      </c>
      <c r="M17" s="233"/>
      <c r="N17" s="45">
        <v>250</v>
      </c>
      <c r="O17" t="s">
        <v>45</v>
      </c>
    </row>
    <row r="18" spans="2:15" x14ac:dyDescent="0.4">
      <c r="C18" t="s">
        <v>148</v>
      </c>
      <c r="E18" s="45">
        <v>0</v>
      </c>
      <c r="F18" t="s">
        <v>45</v>
      </c>
      <c r="H18" s="233"/>
      <c r="I18" s="45">
        <v>0</v>
      </c>
      <c r="J18" t="s">
        <v>45</v>
      </c>
      <c r="M18" s="233"/>
      <c r="N18" s="45">
        <v>0</v>
      </c>
      <c r="O18" t="s">
        <v>45</v>
      </c>
    </row>
    <row r="19" spans="2:15" x14ac:dyDescent="0.4">
      <c r="B19" s="117" t="s">
        <v>163</v>
      </c>
      <c r="E19" s="118"/>
      <c r="H19" s="233"/>
      <c r="I19" s="97"/>
      <c r="M19" s="233"/>
      <c r="N19" s="97"/>
    </row>
    <row r="20" spans="2:15" x14ac:dyDescent="0.4">
      <c r="B20" t="s">
        <v>66</v>
      </c>
      <c r="C20" t="s">
        <v>67</v>
      </c>
      <c r="E20" s="97"/>
      <c r="F20" t="s">
        <v>45</v>
      </c>
      <c r="H20" s="234"/>
      <c r="I20" s="45">
        <v>4611</v>
      </c>
      <c r="J20" t="s">
        <v>45</v>
      </c>
      <c r="M20" s="234"/>
      <c r="N20" s="45"/>
      <c r="O20" t="s">
        <v>45</v>
      </c>
    </row>
    <row r="21" spans="2:15" x14ac:dyDescent="0.4">
      <c r="B21" s="117" t="s">
        <v>168</v>
      </c>
      <c r="E21" s="118"/>
      <c r="H21" s="112"/>
      <c r="I21" s="46"/>
      <c r="M21" s="112"/>
      <c r="N21" s="46"/>
    </row>
    <row r="22" spans="2:15" x14ac:dyDescent="0.4">
      <c r="B22" s="222" t="s">
        <v>102</v>
      </c>
      <c r="C22" t="s">
        <v>162</v>
      </c>
      <c r="E22" s="47">
        <v>0.4</v>
      </c>
    </row>
    <row r="23" spans="2:15" x14ac:dyDescent="0.4">
      <c r="B23" s="222"/>
      <c r="C23" t="s">
        <v>161</v>
      </c>
      <c r="E23" s="47">
        <v>0</v>
      </c>
    </row>
    <row r="24" spans="2:15" x14ac:dyDescent="0.4">
      <c r="B24" s="222"/>
      <c r="C24" s="94" t="s">
        <v>156</v>
      </c>
      <c r="E24" s="47">
        <v>0.3</v>
      </c>
    </row>
    <row r="25" spans="2:15" x14ac:dyDescent="0.4">
      <c r="C25" s="94" t="s">
        <v>155</v>
      </c>
      <c r="E25" s="47">
        <v>0.3</v>
      </c>
    </row>
    <row r="26" spans="2:15" x14ac:dyDescent="0.4">
      <c r="C26" s="94" t="s">
        <v>157</v>
      </c>
      <c r="E26" s="47">
        <v>0</v>
      </c>
    </row>
    <row r="27" spans="2:15" x14ac:dyDescent="0.4">
      <c r="C27" s="94" t="s">
        <v>158</v>
      </c>
      <c r="E27" s="47">
        <v>0</v>
      </c>
    </row>
    <row r="28" spans="2:15" x14ac:dyDescent="0.4">
      <c r="B28" s="117" t="s">
        <v>167</v>
      </c>
      <c r="C28" s="94"/>
      <c r="E28" s="123"/>
    </row>
    <row r="29" spans="2:15" x14ac:dyDescent="0.4">
      <c r="B29" s="222" t="s">
        <v>101</v>
      </c>
      <c r="C29" s="94" t="s">
        <v>153</v>
      </c>
      <c r="E29" s="47">
        <v>0.7</v>
      </c>
    </row>
    <row r="30" spans="2:15" x14ac:dyDescent="0.4">
      <c r="B30" s="222"/>
      <c r="C30" s="94" t="s">
        <v>154</v>
      </c>
      <c r="E30" s="47">
        <v>0.3</v>
      </c>
    </row>
    <row r="31" spans="2:15" x14ac:dyDescent="0.4">
      <c r="B31" s="222"/>
      <c r="C31" s="94" t="s">
        <v>156</v>
      </c>
      <c r="E31" s="47">
        <v>0</v>
      </c>
    </row>
    <row r="32" spans="2:15" x14ac:dyDescent="0.4">
      <c r="C32" s="94" t="s">
        <v>155</v>
      </c>
      <c r="E32" s="47">
        <v>0</v>
      </c>
    </row>
    <row r="33" spans="2:5" x14ac:dyDescent="0.4">
      <c r="C33" s="94" t="s">
        <v>159</v>
      </c>
      <c r="E33" s="47">
        <v>0</v>
      </c>
    </row>
    <row r="34" spans="2:5" x14ac:dyDescent="0.4">
      <c r="C34" s="94" t="s">
        <v>158</v>
      </c>
      <c r="E34" s="47">
        <v>0</v>
      </c>
    </row>
    <row r="35" spans="2:5" x14ac:dyDescent="0.4">
      <c r="C35" s="94"/>
      <c r="E35" s="122"/>
    </row>
    <row r="36" spans="2:5" x14ac:dyDescent="0.4">
      <c r="B36" t="s">
        <v>90</v>
      </c>
      <c r="C36" s="94" t="s">
        <v>146</v>
      </c>
    </row>
    <row r="37" spans="2:5" x14ac:dyDescent="0.4">
      <c r="B37" t="s">
        <v>120</v>
      </c>
    </row>
    <row r="38" spans="2:5" x14ac:dyDescent="0.4">
      <c r="B38" t="s">
        <v>145</v>
      </c>
    </row>
  </sheetData>
  <mergeCells count="5">
    <mergeCell ref="L5:L9"/>
    <mergeCell ref="H12:H20"/>
    <mergeCell ref="M12:M20"/>
    <mergeCell ref="B22:B24"/>
    <mergeCell ref="B29:B31"/>
  </mergeCells>
  <phoneticPr fontId="3"/>
  <pageMargins left="0.7" right="0.7" top="0.75" bottom="0.75" header="0.3" footer="0.3"/>
  <pageSetup paperSize="9" scale="46"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473FF7-5E1F-47DF-A7EB-F7CC73672356}">
  <sheetPr>
    <tabColor rgb="FFFF0000"/>
  </sheetPr>
  <dimension ref="B1:S39"/>
  <sheetViews>
    <sheetView tabSelected="1" view="pageBreakPreview" topLeftCell="B1" zoomScaleNormal="100" zoomScaleSheetLayoutView="100" workbookViewId="0">
      <selection activeCell="B1" sqref="B1"/>
    </sheetView>
  </sheetViews>
  <sheetFormatPr defaultRowHeight="18.75" x14ac:dyDescent="0.4"/>
  <cols>
    <col min="1" max="1" width="5.25" customWidth="1"/>
    <col min="2" max="2" width="17.625" style="49" customWidth="1"/>
    <col min="3" max="4" width="11.25" style="49" customWidth="1"/>
    <col min="5" max="10" width="11.25" customWidth="1"/>
    <col min="11" max="11" width="6.875" customWidth="1"/>
    <col min="12" max="12" width="17.625" style="49" customWidth="1"/>
    <col min="13" max="18" width="11.25" customWidth="1"/>
  </cols>
  <sheetData>
    <row r="1" spans="2:19" ht="30.75" thickBot="1" x14ac:dyDescent="0.45">
      <c r="E1" s="235" t="s">
        <v>241</v>
      </c>
      <c r="F1" s="235"/>
      <c r="G1" s="235"/>
      <c r="H1" s="235"/>
      <c r="I1" s="235"/>
      <c r="J1" s="235"/>
      <c r="K1" s="235"/>
      <c r="L1" s="235"/>
      <c r="M1" s="235"/>
      <c r="N1" s="235"/>
      <c r="O1" s="235"/>
      <c r="P1" s="235"/>
      <c r="Q1" s="50" t="s">
        <v>72</v>
      </c>
      <c r="R1" s="196">
        <v>0.6</v>
      </c>
    </row>
    <row r="2" spans="2:19" s="53" customFormat="1" x14ac:dyDescent="0.4">
      <c r="B2" s="52"/>
      <c r="C2" s="52"/>
      <c r="D2" s="52"/>
      <c r="Q2" s="52"/>
      <c r="R2" s="54"/>
    </row>
    <row r="3" spans="2:19" x14ac:dyDescent="0.4">
      <c r="B3"/>
      <c r="C3"/>
      <c r="D3"/>
      <c r="E3" s="55"/>
      <c r="F3" s="55"/>
      <c r="G3" s="56"/>
      <c r="H3" s="55"/>
      <c r="I3" s="55"/>
      <c r="J3" s="55"/>
      <c r="K3" s="55"/>
      <c r="L3" s="55"/>
      <c r="M3" s="55"/>
      <c r="N3" s="55"/>
      <c r="O3" s="56"/>
      <c r="S3" s="49"/>
    </row>
    <row r="4" spans="2:19" s="59" customFormat="1" ht="22.5" customHeight="1" x14ac:dyDescent="0.4">
      <c r="B4" s="225" t="s">
        <v>231</v>
      </c>
      <c r="C4" s="225"/>
      <c r="D4" s="225"/>
      <c r="E4" s="226"/>
      <c r="F4" s="226"/>
      <c r="G4" s="226"/>
      <c r="H4" s="57"/>
      <c r="I4" s="237" t="s">
        <v>47</v>
      </c>
      <c r="J4" s="237"/>
      <c r="K4" s="58"/>
      <c r="L4" s="227" t="s">
        <v>232</v>
      </c>
      <c r="M4" s="227"/>
      <c r="N4" s="227"/>
      <c r="O4" s="227"/>
    </row>
    <row r="5" spans="2:19" s="59" customFormat="1" ht="22.5" customHeight="1" x14ac:dyDescent="0.4">
      <c r="B5" s="60"/>
      <c r="C5" s="61">
        <f>EDATE(E5,-2)</f>
        <v>44958</v>
      </c>
      <c r="D5" s="61">
        <f>EDATE(E5,-1)</f>
        <v>44986</v>
      </c>
      <c r="E5" s="61">
        <f>'資金繰り予定表データ入力（製造原価あり）'!C1</f>
        <v>45017</v>
      </c>
      <c r="F5" s="61">
        <f>EDATE(E5,1)</f>
        <v>45047</v>
      </c>
      <c r="G5" s="61">
        <f>EDATE(E5,2)</f>
        <v>45078</v>
      </c>
      <c r="H5" s="61">
        <f>EDATE(E5,3)</f>
        <v>45108</v>
      </c>
      <c r="I5" s="61">
        <f>EDATE(E5,4)</f>
        <v>45139</v>
      </c>
      <c r="J5" s="84">
        <f>EDATE(E5,5)</f>
        <v>45170</v>
      </c>
      <c r="L5" s="62"/>
      <c r="M5" s="61">
        <f t="shared" ref="M5:P5" si="0">E5</f>
        <v>45017</v>
      </c>
      <c r="N5" s="61">
        <f t="shared" si="0"/>
        <v>45047</v>
      </c>
      <c r="O5" s="61">
        <f t="shared" si="0"/>
        <v>45078</v>
      </c>
      <c r="P5" s="61">
        <f t="shared" si="0"/>
        <v>45108</v>
      </c>
      <c r="Q5" s="61">
        <f>I5</f>
        <v>45139</v>
      </c>
      <c r="R5" s="84">
        <f>J5</f>
        <v>45170</v>
      </c>
    </row>
    <row r="6" spans="2:19" s="59" customFormat="1" ht="22.5" customHeight="1" x14ac:dyDescent="0.4">
      <c r="B6" s="63" t="s">
        <v>180</v>
      </c>
      <c r="C6" s="126">
        <f>C31-C30</f>
        <v>0</v>
      </c>
      <c r="D6" s="126">
        <f>D31-D30</f>
        <v>0</v>
      </c>
      <c r="E6" s="126">
        <f t="shared" ref="E6:J6" si="1">D31</f>
        <v>0</v>
      </c>
      <c r="F6" s="126">
        <f t="shared" si="1"/>
        <v>0</v>
      </c>
      <c r="G6" s="126">
        <f t="shared" si="1"/>
        <v>0</v>
      </c>
      <c r="H6" s="126">
        <f t="shared" si="1"/>
        <v>0</v>
      </c>
      <c r="I6" s="126">
        <f t="shared" si="1"/>
        <v>0</v>
      </c>
      <c r="J6" s="126">
        <f t="shared" si="1"/>
        <v>0</v>
      </c>
      <c r="K6" s="58"/>
      <c r="L6" s="65" t="str">
        <f>B6</f>
        <v>月初現預金残高</v>
      </c>
      <c r="M6" s="126">
        <f>E6</f>
        <v>0</v>
      </c>
      <c r="N6" s="126">
        <f>M31</f>
        <v>0</v>
      </c>
      <c r="O6" s="126">
        <f>N31</f>
        <v>0</v>
      </c>
      <c r="P6" s="108">
        <f>O31</f>
        <v>0</v>
      </c>
      <c r="Q6" s="108">
        <f>P31</f>
        <v>0</v>
      </c>
      <c r="R6" s="108">
        <f>Q31</f>
        <v>0</v>
      </c>
    </row>
    <row r="7" spans="2:19" s="59" customFormat="1" ht="22.5" customHeight="1" x14ac:dyDescent="0.4">
      <c r="B7" s="67"/>
      <c r="C7" s="67"/>
      <c r="D7" s="67"/>
      <c r="E7" s="58"/>
      <c r="F7" s="58"/>
      <c r="G7" s="58"/>
      <c r="H7" s="57"/>
      <c r="I7" s="58"/>
      <c r="J7" s="58"/>
      <c r="K7" s="58"/>
      <c r="L7" s="68"/>
      <c r="M7" s="58"/>
      <c r="N7" s="58"/>
      <c r="O7" s="58"/>
    </row>
    <row r="8" spans="2:19" s="59" customFormat="1" ht="22.5" customHeight="1" x14ac:dyDescent="0.4">
      <c r="B8" s="62"/>
      <c r="C8" s="61">
        <f>C5</f>
        <v>44958</v>
      </c>
      <c r="D8" s="61">
        <f t="shared" ref="D8:J8" si="2">D5</f>
        <v>44986</v>
      </c>
      <c r="E8" s="61">
        <f t="shared" si="2"/>
        <v>45017</v>
      </c>
      <c r="F8" s="61">
        <f t="shared" si="2"/>
        <v>45047</v>
      </c>
      <c r="G8" s="61">
        <f t="shared" si="2"/>
        <v>45078</v>
      </c>
      <c r="H8" s="61">
        <f t="shared" si="2"/>
        <v>45108</v>
      </c>
      <c r="I8" s="61">
        <f t="shared" si="2"/>
        <v>45139</v>
      </c>
      <c r="J8" s="61">
        <f t="shared" si="2"/>
        <v>45170</v>
      </c>
      <c r="L8" s="62"/>
      <c r="M8" s="61">
        <f t="shared" ref="M8:P8" si="3">E8</f>
        <v>45017</v>
      </c>
      <c r="N8" s="61">
        <f t="shared" si="3"/>
        <v>45047</v>
      </c>
      <c r="O8" s="61">
        <f t="shared" si="3"/>
        <v>45078</v>
      </c>
      <c r="P8" s="61">
        <f t="shared" si="3"/>
        <v>45108</v>
      </c>
      <c r="Q8" s="61">
        <f>I8</f>
        <v>45139</v>
      </c>
      <c r="R8" s="84">
        <f>J8</f>
        <v>45170</v>
      </c>
    </row>
    <row r="9" spans="2:19" s="59" customFormat="1" ht="22.5" customHeight="1" x14ac:dyDescent="0.4">
      <c r="B9" s="63" t="s">
        <v>46</v>
      </c>
      <c r="C9" s="103">
        <f>'資金繰り予定表データ入力（製造原価あり）'!E3</f>
        <v>0</v>
      </c>
      <c r="D9" s="103">
        <f>'資金繰り予定表データ入力（製造原価あり）'!E4</f>
        <v>0</v>
      </c>
      <c r="E9" s="108">
        <f>'資金繰り予定表データ入力（製造原価あり）'!E5</f>
        <v>0</v>
      </c>
      <c r="F9" s="108">
        <f>'資金繰り予定表データ入力（製造原価あり）'!E6</f>
        <v>0</v>
      </c>
      <c r="G9" s="108">
        <f>'資金繰り予定表データ入力（製造原価あり）'!E7</f>
        <v>0</v>
      </c>
      <c r="H9" s="108">
        <f>'資金繰り予定表データ入力（製造原価あり）'!E8</f>
        <v>0</v>
      </c>
      <c r="I9" s="108">
        <f>'資金繰り予定表データ入力（製造原価あり）'!E9</f>
        <v>0</v>
      </c>
      <c r="J9" s="108">
        <f>'資金繰り予定表データ入力（製造原価あり）'!E10</f>
        <v>0</v>
      </c>
      <c r="L9" s="63" t="str">
        <f>B9</f>
        <v>売上</v>
      </c>
      <c r="M9" s="108">
        <f t="shared" ref="M9:R9" si="4">E9*$R$1</f>
        <v>0</v>
      </c>
      <c r="N9" s="108">
        <f>F9*$R$1</f>
        <v>0</v>
      </c>
      <c r="O9" s="108">
        <f t="shared" si="4"/>
        <v>0</v>
      </c>
      <c r="P9" s="108">
        <f t="shared" si="4"/>
        <v>0</v>
      </c>
      <c r="Q9" s="108">
        <f t="shared" si="4"/>
        <v>0</v>
      </c>
      <c r="R9" s="108">
        <f t="shared" si="4"/>
        <v>0</v>
      </c>
    </row>
    <row r="10" spans="2:19" s="59" customFormat="1" ht="22.5" customHeight="1" x14ac:dyDescent="0.4">
      <c r="B10" s="63" t="s">
        <v>149</v>
      </c>
      <c r="C10" s="103">
        <f>'資金繰り予定表データ入力（製造原価あり）'!E27</f>
        <v>0</v>
      </c>
      <c r="D10" s="103">
        <f>'資金繰り予定表データ入力（製造原価あり）'!E28</f>
        <v>0</v>
      </c>
      <c r="E10" s="103">
        <f>'資金繰り予定表データ入力（製造原価あり）'!E29</f>
        <v>0</v>
      </c>
      <c r="F10" s="103">
        <f>'資金繰り予定表データ入力（製造原価あり）'!E30</f>
        <v>0</v>
      </c>
      <c r="G10" s="103">
        <f>'資金繰り予定表データ入力（製造原価あり）'!E31</f>
        <v>0</v>
      </c>
      <c r="H10" s="103">
        <f>'資金繰り予定表データ入力（製造原価あり）'!E32</f>
        <v>0</v>
      </c>
      <c r="I10" s="103">
        <f>'資金繰り予定表データ入力（製造原価あり）'!E33</f>
        <v>0</v>
      </c>
      <c r="J10" s="103">
        <f>'資金繰り予定表データ入力（製造原価あり）'!E34</f>
        <v>0</v>
      </c>
      <c r="L10" s="63" t="str">
        <f>B10</f>
        <v>その他収入</v>
      </c>
      <c r="M10" s="108">
        <f t="shared" ref="M10:R10" si="5">E10</f>
        <v>0</v>
      </c>
      <c r="N10" s="108">
        <f t="shared" si="5"/>
        <v>0</v>
      </c>
      <c r="O10" s="108">
        <f t="shared" si="5"/>
        <v>0</v>
      </c>
      <c r="P10" s="108">
        <f t="shared" si="5"/>
        <v>0</v>
      </c>
      <c r="Q10" s="108">
        <f t="shared" si="5"/>
        <v>0</v>
      </c>
      <c r="R10" s="108">
        <f t="shared" si="5"/>
        <v>0</v>
      </c>
    </row>
    <row r="11" spans="2:19" s="59" customFormat="1" ht="22.5" customHeight="1" x14ac:dyDescent="0.4">
      <c r="B11" s="70" t="s">
        <v>150</v>
      </c>
      <c r="C11" s="104">
        <f>C10+'資金繰り予定表データ入力（製造原価あり）'!O3+C9*'資金繰り予定表データ入力（製造原価あり）'!D12</f>
        <v>0</v>
      </c>
      <c r="D11" s="104">
        <f>D10+'資金繰り予定表データ入力（製造原価あり）'!O4+D9*'資金繰り予定表データ入力（製造原価あり）'!D12+C9*'資金繰り予定表データ入力（製造原価あり）'!D13</f>
        <v>0</v>
      </c>
      <c r="E11" s="106">
        <f>E10+'資金繰り予定表データ入力（製造原価あり）'!O5+E9*'資金繰り予定表データ入力（製造原価あり）'!D12+C9*'資金繰り予定表データ入力（製造原価あり）'!D14+D9*'資金繰り予定表データ入力（製造原価あり）'!D13</f>
        <v>0</v>
      </c>
      <c r="F11" s="106">
        <f>F10+'資金繰り予定表データ入力（製造原価あり）'!O6+E9*'資金繰り予定表データ入力（製造原価あり）'!D13+F9*'資金繰り予定表データ入力（製造原価あり）'!D12+C9*'資金繰り予定表データ入力（製造原価あり）'!D15+D9*'資金繰り予定表データ入力（製造原価あり）'!D14</f>
        <v>0</v>
      </c>
      <c r="G11" s="106">
        <f>G10+'資金繰り予定表データ入力（製造原価あり）'!O7+E9*'資金繰り予定表データ入力（製造原価あり）'!D14+F9*'資金繰り予定表データ入力（製造原価あり）'!D13+G9*'資金繰り予定表データ入力（製造原価あり）'!D12+C9*'資金繰り予定表データ入力（製造原価あり）'!D16+D9*'資金繰り予定表データ入力（製造原価あり）'!D15</f>
        <v>0</v>
      </c>
      <c r="H11" s="106">
        <f>H10+'資金繰り予定表データ入力（製造原価あり）'!O8+E9*'資金繰り予定表データ入力（製造原価あり）'!D15+F9*'資金繰り予定表データ入力（製造原価あり）'!D14+G9*'資金繰り予定表データ入力（製造原価あり）'!D13+H9*'資金繰り予定表データ入力（製造原価あり）'!D12+C9*'資金繰り予定表データ入力（製造原価あり）'!D17+D9*'資金繰り予定表データ入力（製造原価あり）'!D16</f>
        <v>0</v>
      </c>
      <c r="I11" s="106">
        <f>I10+'資金繰り予定表データ入力（製造原価あり）'!O9+E9*'資金繰り予定表データ入力（製造原価あり）'!D16+F9*'資金繰り予定表データ入力（製造原価あり）'!D15+G9*'資金繰り予定表データ入力（製造原価あり）'!D14+H9*'資金繰り予定表データ入力（製造原価あり）'!D13+I9*'資金繰り予定表データ入力（製造原価あり）'!D12+D9*'資金繰り予定表データ入力（製造原価あり）'!D17</f>
        <v>0</v>
      </c>
      <c r="J11" s="106">
        <f>J10+'資金繰り予定表データ入力（製造原価あり）'!O10+E9*'資金繰り予定表データ入力（製造原価あり）'!D17+F9*'資金繰り予定表データ入力（製造原価あり）'!D16+G9*'資金繰り予定表データ入力（製造原価あり）'!D15+H9*'資金繰り予定表データ入力（製造原価あり）'!D14+I9*'資金繰り予定表データ入力（製造原価あり）'!D13+J9*'資金繰り予定表データ入力（製造原価あり）'!D12</f>
        <v>0</v>
      </c>
      <c r="L11" s="70" t="str">
        <f>B11</f>
        <v>経常収入</v>
      </c>
      <c r="M11" s="106">
        <f>M10+'資金繰り予定表データ入力（製造原価あり）'!O5+$R$1*(E9*'資金繰り予定表データ入力（製造原価あり）'!D12)+C9*'資金繰り予定表データ入力（製造原価あり）'!D14+D9*'資金繰り予定表データ入力（製造原価あり）'!D13</f>
        <v>0</v>
      </c>
      <c r="N11" s="106">
        <f>N10+'資金繰り予定表データ入力（製造原価あり）'!O6+$R$1*(E9*'資金繰り予定表データ入力（製造原価あり）'!D13+F9*'資金繰り予定表データ入力（製造原価あり）'!D12)+C9*'資金繰り予定表データ入力（製造原価あり）'!D15+D9*'資金繰り予定表データ入力（製造原価あり）'!D14</f>
        <v>0</v>
      </c>
      <c r="O11" s="106">
        <f>O10+'資金繰り予定表データ入力（製造原価あり）'!O7+$R$1*(E9*'資金繰り予定表データ入力（製造原価あり）'!D14+F9*'資金繰り予定表データ入力（製造原価あり）'!D13+G9*'資金繰り予定表データ入力（製造原価あり）'!D12)+C9*'資金繰り予定表データ入力（製造原価あり）'!D16+D9*'資金繰り予定表データ入力（製造原価あり）'!D15</f>
        <v>0</v>
      </c>
      <c r="P11" s="106">
        <f>P10+'資金繰り予定表データ入力（製造原価あり）'!O8+$R$1*(E9*'資金繰り予定表データ入力（製造原価あり）'!D15+F9*'資金繰り予定表データ入力（製造原価あり）'!D14+G9*'資金繰り予定表データ入力（製造原価あり）'!D13+H9*'資金繰り予定表データ入力（製造原価あり）'!D12)+C9*'資金繰り予定表データ入力（製造原価あり）'!D17+D9*'資金繰り予定表データ入力（製造原価あり）'!D16</f>
        <v>0</v>
      </c>
      <c r="Q11" s="106">
        <f>Q10+'資金繰り予定表データ入力（製造原価あり）'!O9+$R$1*(E9*'資金繰り予定表データ入力（製造原価あり）'!D16+F9*'資金繰り予定表データ入力（製造原価あり）'!D15+G9*'資金繰り予定表データ入力（製造原価あり）'!D14+H9*'資金繰り予定表データ入力（製造原価あり）'!D13+I9*'資金繰り予定表データ入力（製造原価あり）'!D12)+D9*'資金繰り予定表データ入力（製造原価あり）'!D17</f>
        <v>0</v>
      </c>
      <c r="R11" s="106">
        <f>R10+'資金繰り予定表データ入力（製造原価あり）'!O10+$R$1*(E9*'資金繰り予定表データ入力（製造原価あり）'!D17+F9*'資金繰り予定表データ入力（製造原価あり）'!D16+G9*'資金繰り予定表データ入力（製造原価あり）'!D15+H9*'資金繰り予定表データ入力（製造原価あり）'!D14+I9*'資金繰り予定表データ入力（製造原価あり）'!D13+J9*'資金繰り予定表データ入力（製造原価あり）'!D12)</f>
        <v>0</v>
      </c>
    </row>
    <row r="12" spans="2:19" s="59" customFormat="1" ht="22.5" customHeight="1" x14ac:dyDescent="0.4">
      <c r="B12" s="67"/>
      <c r="C12" s="67"/>
      <c r="D12" s="67"/>
      <c r="E12" s="72"/>
      <c r="F12" s="72"/>
      <c r="G12" s="72"/>
      <c r="H12" s="72"/>
      <c r="I12" s="72"/>
      <c r="J12" s="72"/>
      <c r="L12" s="67"/>
    </row>
    <row r="13" spans="2:19" s="59" customFormat="1" ht="22.5" customHeight="1" x14ac:dyDescent="0.4">
      <c r="B13" s="62"/>
      <c r="C13" s="61">
        <f>C5</f>
        <v>44958</v>
      </c>
      <c r="D13" s="61">
        <f t="shared" ref="D13:J13" si="6">D5</f>
        <v>44986</v>
      </c>
      <c r="E13" s="61">
        <f t="shared" si="6"/>
        <v>45017</v>
      </c>
      <c r="F13" s="61">
        <f t="shared" si="6"/>
        <v>45047</v>
      </c>
      <c r="G13" s="61">
        <f t="shared" si="6"/>
        <v>45078</v>
      </c>
      <c r="H13" s="61">
        <f t="shared" si="6"/>
        <v>45108</v>
      </c>
      <c r="I13" s="61">
        <f t="shared" si="6"/>
        <v>45139</v>
      </c>
      <c r="J13" s="61">
        <f t="shared" si="6"/>
        <v>45170</v>
      </c>
      <c r="L13" s="62"/>
      <c r="M13" s="61">
        <f t="shared" ref="M13:P13" si="7">E13</f>
        <v>45017</v>
      </c>
      <c r="N13" s="61">
        <f t="shared" si="7"/>
        <v>45047</v>
      </c>
      <c r="O13" s="61">
        <f t="shared" si="7"/>
        <v>45078</v>
      </c>
      <c r="P13" s="61">
        <f t="shared" si="7"/>
        <v>45108</v>
      </c>
      <c r="Q13" s="61">
        <f>I13</f>
        <v>45139</v>
      </c>
      <c r="R13" s="84">
        <f>J13</f>
        <v>45170</v>
      </c>
    </row>
    <row r="14" spans="2:19" s="59" customFormat="1" ht="22.5" customHeight="1" x14ac:dyDescent="0.4">
      <c r="B14" s="63" t="s">
        <v>54</v>
      </c>
      <c r="C14" s="103">
        <f>'資金繰り予定表データ入力（製造原価あり）'!I3</f>
        <v>0</v>
      </c>
      <c r="D14" s="103">
        <f>'資金繰り予定表データ入力（製造原価あり）'!I4</f>
        <v>0</v>
      </c>
      <c r="E14" s="108">
        <f>'資金繰り予定表データ入力（製造原価あり）'!I5</f>
        <v>0</v>
      </c>
      <c r="F14" s="108">
        <f>'資金繰り予定表データ入力（製造原価あり）'!I6</f>
        <v>0</v>
      </c>
      <c r="G14" s="108">
        <f>'資金繰り予定表データ入力（製造原価あり）'!I7</f>
        <v>0</v>
      </c>
      <c r="H14" s="108">
        <f>'資金繰り予定表データ入力（製造原価あり）'!I8</f>
        <v>0</v>
      </c>
      <c r="I14" s="108">
        <f>'資金繰り予定表データ入力（製造原価あり）'!I9</f>
        <v>0</v>
      </c>
      <c r="J14" s="108">
        <f>'資金繰り予定表データ入力（製造原価あり）'!I10</f>
        <v>0</v>
      </c>
      <c r="L14" s="63" t="str">
        <f>B14</f>
        <v>仕入</v>
      </c>
      <c r="M14" s="108">
        <f t="shared" ref="M14:R14" si="8">E14*$R$1</f>
        <v>0</v>
      </c>
      <c r="N14" s="108">
        <f t="shared" si="8"/>
        <v>0</v>
      </c>
      <c r="O14" s="108">
        <f t="shared" si="8"/>
        <v>0</v>
      </c>
      <c r="P14" s="108">
        <f t="shared" si="8"/>
        <v>0</v>
      </c>
      <c r="Q14" s="108">
        <f t="shared" si="8"/>
        <v>0</v>
      </c>
      <c r="R14" s="108">
        <f t="shared" si="8"/>
        <v>0</v>
      </c>
    </row>
    <row r="15" spans="2:19" s="59" customFormat="1" ht="22.5" customHeight="1" x14ac:dyDescent="0.4">
      <c r="B15" s="70" t="s">
        <v>77</v>
      </c>
      <c r="C15" s="104">
        <f>'資金繰り予定表データ入力（製造原価あり）'!S3+C14*'資金繰り予定表データ入力（製造原価あり）'!D19</f>
        <v>0</v>
      </c>
      <c r="D15" s="104">
        <f>'資金繰り予定表データ入力（製造原価あり）'!S4+D14*'資金繰り予定表データ入力（製造原価あり）'!D19+C14*'資金繰り予定表データ入力（製造原価あり）'!D20</f>
        <v>0</v>
      </c>
      <c r="E15" s="106">
        <f>'資金繰り予定表データ入力（製造原価あり）'!S5+E14*'資金繰り予定表データ入力（製造原価あり）'!D19+C14*'資金繰り予定表データ入力（製造原価あり）'!D21+D14*'資金繰り予定表データ入力（製造原価あり）'!D20</f>
        <v>0</v>
      </c>
      <c r="F15" s="106">
        <f>'資金繰り予定表データ入力（製造原価あり）'!S6+E14*'資金繰り予定表データ入力（製造原価あり）'!D20+F14*'資金繰り予定表データ入力（製造原価あり）'!D19+C14*'資金繰り予定表データ入力（製造原価あり）'!D22+D14*'資金繰り予定表データ入力（製造原価あり）'!D21</f>
        <v>0</v>
      </c>
      <c r="G15" s="106">
        <f>'資金繰り予定表データ入力（製造原価あり）'!S7+E14*'資金繰り予定表データ入力（製造原価あり）'!D21+F14*'資金繰り予定表データ入力（製造原価あり）'!D20+G14*'資金繰り予定表データ入力（製造原価あり）'!D19+C14*'資金繰り予定表データ入力（製造原価あり）'!D23+D14*'資金繰り予定表データ入力（製造原価あり）'!D22</f>
        <v>0</v>
      </c>
      <c r="H15" s="106">
        <f>'資金繰り予定表データ入力（製造原価あり）'!S8+E14*'資金繰り予定表データ入力（製造原価あり）'!D22+F14*'資金繰り予定表データ入力（製造原価あり）'!D21+G14*'資金繰り予定表データ入力（製造原価あり）'!D20+H14*'資金繰り予定表データ入力（製造原価あり）'!D19+C14*'資金繰り予定表データ入力（製造原価あり）'!D24+D14*'資金繰り予定表データ入力（製造原価あり）'!D23</f>
        <v>0</v>
      </c>
      <c r="I15" s="106">
        <f>'資金繰り予定表データ入力（製造原価あり）'!S9+E14*'資金繰り予定表データ入力（製造原価あり）'!D23+F14*'資金繰り予定表データ入力（製造原価あり）'!D22+G14*'資金繰り予定表データ入力（製造原価あり）'!D21+H14*'資金繰り予定表データ入力（製造原価あり）'!D20+I14*'資金繰り予定表データ入力（製造原価あり）'!D19+D14*'資金繰り予定表データ入力（製造原価あり）'!D24</f>
        <v>0</v>
      </c>
      <c r="J15" s="106">
        <f>'資金繰り予定表データ入力（製造原価あり）'!S10+E14*'資金繰り予定表データ入力（製造原価あり）'!D24+F14*'資金繰り予定表データ入力（製造原価あり）'!D23+G14*'資金繰り予定表データ入力（製造原価あり）'!D22+H14*'資金繰り予定表データ入力（製造原価あり）'!D21+I14*'資金繰り予定表データ入力（製造原価あり）'!D20+J14*'資金繰り予定表データ入力（製造原価あり）'!D19</f>
        <v>0</v>
      </c>
      <c r="L15" s="70" t="str">
        <f>B15</f>
        <v>仕入支払</v>
      </c>
      <c r="M15" s="106">
        <f>'資金繰り予定表データ入力（製造原価あり）'!S5+$R$1*(E14*'資金繰り予定表データ入力（製造原価あり）'!D19)+C14*'資金繰り予定表データ入力（製造原価あり）'!D21+D14*'資金繰り予定表データ入力（製造原価あり）'!D20</f>
        <v>0</v>
      </c>
      <c r="N15" s="106">
        <f>'資金繰り予定表データ入力（製造原価あり）'!S6+$R$1*(E14*'資金繰り予定表データ入力（製造原価あり）'!D20+F14*'資金繰り予定表データ入力（製造原価あり）'!D19)+C14*'資金繰り予定表データ入力（製造原価あり）'!D22+D14*'資金繰り予定表データ入力（製造原価あり）'!D21</f>
        <v>0</v>
      </c>
      <c r="O15" s="106">
        <f>'資金繰り予定表データ入力（製造原価あり）'!S7+$R$1*(E14*'資金繰り予定表データ入力（製造原価あり）'!D21+F14*'資金繰り予定表データ入力（製造原価あり）'!D20+G14*'資金繰り予定表データ入力（製造原価あり）'!D19)+C14*'資金繰り予定表データ入力（製造原価あり）'!D23+D14*'資金繰り予定表データ入力（製造原価あり）'!D22</f>
        <v>0</v>
      </c>
      <c r="P15" s="106">
        <f>'資金繰り予定表データ入力（製造原価あり）'!S8+$R$1*(E14*'資金繰り予定表データ入力（製造原価あり）'!D22+F14*'資金繰り予定表データ入力（製造原価あり）'!D21+G14*'資金繰り予定表データ入力（製造原価あり）'!D20+H14*'資金繰り予定表データ入力（製造原価あり）'!D19)+C14*'資金繰り予定表データ入力（製造原価あり）'!D24+D14*'資金繰り予定表データ入力（製造原価あり）'!D23</f>
        <v>0</v>
      </c>
      <c r="Q15" s="106">
        <f>'資金繰り予定表データ入力（製造原価あり）'!S9+$R$1*(E14*'資金繰り予定表データ入力（製造原価あり）'!D23+F14*'資金繰り予定表データ入力（製造原価あり）'!D22+G14*'資金繰り予定表データ入力（製造原価あり）'!D21+H14*'資金繰り予定表データ入力（製造原価あり）'!D20+I14*'資金繰り予定表データ入力（製造原価あり）'!D19)+D14*'資金繰り予定表データ入力（製造原価あり）'!D24</f>
        <v>0</v>
      </c>
      <c r="R15" s="106">
        <f>'資金繰り予定表データ入力（製造原価あり）'!S10+$R$1*(E14*'資金繰り予定表データ入力（製造原価あり）'!D24+F14*'資金繰り予定表データ入力（製造原価あり）'!D23+G14*'資金繰り予定表データ入力（製造原価あり）'!D22+H14*'資金繰り予定表データ入力（製造原価あり）'!D21+I14*'資金繰り予定表データ入力（製造原価あり）'!D20+J14*'資金繰り予定表データ入力（製造原価あり）'!D19)</f>
        <v>0</v>
      </c>
    </row>
    <row r="16" spans="2:19" s="59" customFormat="1" ht="22.5" customHeight="1" x14ac:dyDescent="0.4">
      <c r="B16" s="67"/>
      <c r="C16" s="132"/>
      <c r="D16" s="132"/>
      <c r="E16" s="133"/>
      <c r="F16" s="133"/>
      <c r="G16" s="133"/>
      <c r="H16" s="133"/>
      <c r="I16" s="133"/>
      <c r="J16" s="133"/>
      <c r="L16" s="67"/>
      <c r="M16" s="133"/>
      <c r="N16" s="133"/>
      <c r="O16" s="133"/>
      <c r="P16" s="133"/>
      <c r="Q16" s="133"/>
      <c r="R16" s="133"/>
    </row>
    <row r="17" spans="2:18" s="59" customFormat="1" ht="22.5" customHeight="1" x14ac:dyDescent="0.4">
      <c r="B17" s="63" t="s">
        <v>48</v>
      </c>
      <c r="C17" s="134">
        <f>'資金繰り予定表データ入力（製造原価あり）'!E37</f>
        <v>0</v>
      </c>
      <c r="D17" s="134">
        <f>'資金繰り予定表データ入力（製造原価あり）'!E38</f>
        <v>0</v>
      </c>
      <c r="E17" s="134">
        <f>'資金繰り予定表データ入力（製造原価あり）'!E39</f>
        <v>0</v>
      </c>
      <c r="F17" s="134">
        <f>'資金繰り予定表データ入力（製造原価あり）'!E40</f>
        <v>0</v>
      </c>
      <c r="G17" s="134">
        <f>'資金繰り予定表データ入力（製造原価あり）'!E41</f>
        <v>0</v>
      </c>
      <c r="H17" s="134">
        <f>'資金繰り予定表データ入力（製造原価あり）'!E42</f>
        <v>0</v>
      </c>
      <c r="I17" s="134">
        <f>'資金繰り予定表データ入力（製造原価あり）'!E43</f>
        <v>0</v>
      </c>
      <c r="J17" s="134">
        <f>'資金繰り予定表データ入力（製造原価あり）'!E44</f>
        <v>0</v>
      </c>
      <c r="L17" s="63" t="str">
        <f>B17</f>
        <v>外注費</v>
      </c>
      <c r="M17" s="111">
        <f>E17*$R$1</f>
        <v>0</v>
      </c>
      <c r="N17" s="111">
        <f t="shared" ref="N17:R17" si="9">F17*$R$1</f>
        <v>0</v>
      </c>
      <c r="O17" s="111">
        <f t="shared" si="9"/>
        <v>0</v>
      </c>
      <c r="P17" s="111">
        <f t="shared" si="9"/>
        <v>0</v>
      </c>
      <c r="Q17" s="111">
        <f t="shared" si="9"/>
        <v>0</v>
      </c>
      <c r="R17" s="111">
        <f t="shared" si="9"/>
        <v>0</v>
      </c>
    </row>
    <row r="18" spans="2:18" s="59" customFormat="1" ht="22.5" customHeight="1" x14ac:dyDescent="0.4">
      <c r="B18" s="63" t="s">
        <v>50</v>
      </c>
      <c r="C18" s="103">
        <f>'資金繰り予定表データ入力（製造原価あり）'!I37</f>
        <v>0</v>
      </c>
      <c r="D18" s="103">
        <f>'資金繰り予定表データ入力（製造原価あり）'!I38</f>
        <v>0</v>
      </c>
      <c r="E18" s="103">
        <f>'資金繰り予定表データ入力（製造原価あり）'!I39</f>
        <v>0</v>
      </c>
      <c r="F18" s="103">
        <f>'資金繰り予定表データ入力（製造原価あり）'!I40</f>
        <v>0</v>
      </c>
      <c r="G18" s="103">
        <f>'資金繰り予定表データ入力（製造原価あり）'!I41</f>
        <v>0</v>
      </c>
      <c r="H18" s="103">
        <f>'資金繰り予定表データ入力（製造原価あり）'!I42</f>
        <v>0</v>
      </c>
      <c r="I18" s="103">
        <f>'資金繰り予定表データ入力（製造原価あり）'!I43</f>
        <v>0</v>
      </c>
      <c r="J18" s="103">
        <f>'資金繰り予定表データ入力（製造原価あり）'!I44</f>
        <v>0</v>
      </c>
      <c r="L18" s="63" t="str">
        <f>B18</f>
        <v>労務費</v>
      </c>
      <c r="M18" s="111">
        <f t="shared" ref="M18:R22" si="10">E18</f>
        <v>0</v>
      </c>
      <c r="N18" s="111">
        <f t="shared" si="10"/>
        <v>0</v>
      </c>
      <c r="O18" s="111">
        <f t="shared" si="10"/>
        <v>0</v>
      </c>
      <c r="P18" s="111">
        <f t="shared" si="10"/>
        <v>0</v>
      </c>
      <c r="Q18" s="111">
        <f t="shared" si="10"/>
        <v>0</v>
      </c>
      <c r="R18" s="111">
        <f t="shared" si="10"/>
        <v>0</v>
      </c>
    </row>
    <row r="19" spans="2:18" s="59" customFormat="1" ht="22.5" customHeight="1" x14ac:dyDescent="0.4">
      <c r="B19" s="63" t="s">
        <v>78</v>
      </c>
      <c r="C19" s="103">
        <f>'資金繰り予定表データ入力（製造原価あり）'!M47</f>
        <v>0</v>
      </c>
      <c r="D19" s="103">
        <f>'資金繰り予定表データ入力（製造原価あり）'!I47</f>
        <v>0</v>
      </c>
      <c r="E19" s="108">
        <f>'資金繰り予定表データ入力（製造原価あり）'!E47</f>
        <v>0</v>
      </c>
      <c r="F19" s="108">
        <f>E19</f>
        <v>0</v>
      </c>
      <c r="G19" s="108">
        <f>F19</f>
        <v>0</v>
      </c>
      <c r="H19" s="108">
        <f t="shared" ref="H19:J19" si="11">G19</f>
        <v>0</v>
      </c>
      <c r="I19" s="108">
        <f t="shared" si="11"/>
        <v>0</v>
      </c>
      <c r="J19" s="108">
        <f t="shared" si="11"/>
        <v>0</v>
      </c>
      <c r="L19" s="63" t="str">
        <f t="shared" ref="L19:L31" si="12">B19</f>
        <v>人件費</v>
      </c>
      <c r="M19" s="108">
        <f>E19</f>
        <v>0</v>
      </c>
      <c r="N19" s="108">
        <f>F19</f>
        <v>0</v>
      </c>
      <c r="O19" s="108">
        <f t="shared" si="10"/>
        <v>0</v>
      </c>
      <c r="P19" s="108">
        <f t="shared" si="10"/>
        <v>0</v>
      </c>
      <c r="Q19" s="108">
        <f t="shared" si="10"/>
        <v>0</v>
      </c>
      <c r="R19" s="108">
        <f t="shared" si="10"/>
        <v>0</v>
      </c>
    </row>
    <row r="20" spans="2:18" s="59" customFormat="1" ht="22.5" customHeight="1" x14ac:dyDescent="0.4">
      <c r="B20" s="63" t="s">
        <v>236</v>
      </c>
      <c r="C20" s="103">
        <f>'資金繰り予定表データ入力（製造原価あり）'!M48</f>
        <v>0</v>
      </c>
      <c r="D20" s="103">
        <f>'資金繰り予定表データ入力（製造原価あり）'!I48</f>
        <v>0</v>
      </c>
      <c r="E20" s="108">
        <f>'資金繰り予定表データ入力（製造原価あり）'!E48</f>
        <v>0</v>
      </c>
      <c r="F20" s="108">
        <f t="shared" ref="F20:J22" si="13">E20</f>
        <v>0</v>
      </c>
      <c r="G20" s="108">
        <f t="shared" si="13"/>
        <v>0</v>
      </c>
      <c r="H20" s="108">
        <f t="shared" si="13"/>
        <v>0</v>
      </c>
      <c r="I20" s="108">
        <f t="shared" si="13"/>
        <v>0</v>
      </c>
      <c r="J20" s="108">
        <f t="shared" si="13"/>
        <v>0</v>
      </c>
      <c r="L20" s="63" t="str">
        <f t="shared" si="12"/>
        <v>営業経費等</v>
      </c>
      <c r="M20" s="108">
        <f>E20</f>
        <v>0</v>
      </c>
      <c r="N20" s="108">
        <f t="shared" ref="N20:N22" si="14">F20</f>
        <v>0</v>
      </c>
      <c r="O20" s="108">
        <f t="shared" si="10"/>
        <v>0</v>
      </c>
      <c r="P20" s="108">
        <f t="shared" si="10"/>
        <v>0</v>
      </c>
      <c r="Q20" s="108">
        <f t="shared" si="10"/>
        <v>0</v>
      </c>
      <c r="R20" s="108">
        <f t="shared" si="10"/>
        <v>0</v>
      </c>
    </row>
    <row r="21" spans="2:18" s="59" customFormat="1" ht="22.5" customHeight="1" x14ac:dyDescent="0.4">
      <c r="B21" s="63" t="s">
        <v>81</v>
      </c>
      <c r="C21" s="103">
        <f>'資金繰り予定表データ入力（製造原価あり）'!M55</f>
        <v>0</v>
      </c>
      <c r="D21" s="103">
        <f>'資金繰り予定表データ入力（製造原価あり）'!I55</f>
        <v>0</v>
      </c>
      <c r="E21" s="108">
        <f>'資金繰り予定表データ入力（製造原価あり）'!E55</f>
        <v>0</v>
      </c>
      <c r="F21" s="108">
        <f t="shared" si="13"/>
        <v>0</v>
      </c>
      <c r="G21" s="108">
        <f t="shared" si="13"/>
        <v>0</v>
      </c>
      <c r="H21" s="108">
        <f t="shared" si="13"/>
        <v>0</v>
      </c>
      <c r="I21" s="108">
        <f t="shared" si="13"/>
        <v>0</v>
      </c>
      <c r="J21" s="108">
        <f t="shared" si="13"/>
        <v>0</v>
      </c>
      <c r="L21" s="63" t="str">
        <f t="shared" si="12"/>
        <v>税金・社会保険料</v>
      </c>
      <c r="M21" s="108">
        <f t="shared" ref="M21:M22" si="15">E21</f>
        <v>0</v>
      </c>
      <c r="N21" s="108">
        <f t="shared" si="14"/>
        <v>0</v>
      </c>
      <c r="O21" s="108">
        <f t="shared" si="10"/>
        <v>0</v>
      </c>
      <c r="P21" s="108">
        <f t="shared" si="10"/>
        <v>0</v>
      </c>
      <c r="Q21" s="108">
        <f t="shared" si="10"/>
        <v>0</v>
      </c>
      <c r="R21" s="108">
        <f t="shared" si="10"/>
        <v>0</v>
      </c>
    </row>
    <row r="22" spans="2:18" s="59" customFormat="1" ht="22.5" customHeight="1" x14ac:dyDescent="0.4">
      <c r="B22" s="63" t="s">
        <v>238</v>
      </c>
      <c r="C22" s="103">
        <f>'資金繰り予定表データ入力（製造原価あり）'!M57</f>
        <v>0</v>
      </c>
      <c r="D22" s="103">
        <f>'資金繰り予定表データ入力（製造原価あり）'!I57</f>
        <v>0</v>
      </c>
      <c r="E22" s="108">
        <f>'資金繰り予定表データ入力（製造原価あり）'!E57</f>
        <v>0</v>
      </c>
      <c r="F22" s="108">
        <f t="shared" si="13"/>
        <v>0</v>
      </c>
      <c r="G22" s="108">
        <f t="shared" si="13"/>
        <v>0</v>
      </c>
      <c r="H22" s="108">
        <f t="shared" si="13"/>
        <v>0</v>
      </c>
      <c r="I22" s="108">
        <f t="shared" si="13"/>
        <v>0</v>
      </c>
      <c r="J22" s="108">
        <f t="shared" si="13"/>
        <v>0</v>
      </c>
      <c r="L22" s="63" t="str">
        <f t="shared" si="12"/>
        <v>その他支出</v>
      </c>
      <c r="M22" s="108">
        <f t="shared" si="15"/>
        <v>0</v>
      </c>
      <c r="N22" s="108">
        <f t="shared" si="14"/>
        <v>0</v>
      </c>
      <c r="O22" s="108">
        <f t="shared" si="10"/>
        <v>0</v>
      </c>
      <c r="P22" s="108">
        <f t="shared" si="10"/>
        <v>0</v>
      </c>
      <c r="Q22" s="108">
        <f t="shared" si="10"/>
        <v>0</v>
      </c>
      <c r="R22" s="108">
        <f t="shared" si="10"/>
        <v>0</v>
      </c>
    </row>
    <row r="23" spans="2:18" s="59" customFormat="1" ht="22.5" customHeight="1" x14ac:dyDescent="0.4">
      <c r="B23" s="70" t="s">
        <v>124</v>
      </c>
      <c r="C23" s="106">
        <f>C15+SUM(C17:C22)</f>
        <v>0</v>
      </c>
      <c r="D23" s="106">
        <f t="shared" ref="D23:J23" si="16">D15+SUM(D17:D22)</f>
        <v>0</v>
      </c>
      <c r="E23" s="106">
        <f t="shared" si="16"/>
        <v>0</v>
      </c>
      <c r="F23" s="106">
        <f t="shared" si="16"/>
        <v>0</v>
      </c>
      <c r="G23" s="106">
        <f t="shared" si="16"/>
        <v>0</v>
      </c>
      <c r="H23" s="106">
        <f t="shared" si="16"/>
        <v>0</v>
      </c>
      <c r="I23" s="106">
        <f t="shared" si="16"/>
        <v>0</v>
      </c>
      <c r="J23" s="106">
        <f t="shared" si="16"/>
        <v>0</v>
      </c>
      <c r="L23" s="70" t="str">
        <f t="shared" si="12"/>
        <v>経常支出</v>
      </c>
      <c r="M23" s="106">
        <f>M15+SUM(M17:M22)</f>
        <v>0</v>
      </c>
      <c r="N23" s="106">
        <f t="shared" ref="N23:R23" si="17">N15+SUM(N17:N22)</f>
        <v>0</v>
      </c>
      <c r="O23" s="106">
        <f t="shared" si="17"/>
        <v>0</v>
      </c>
      <c r="P23" s="106">
        <f t="shared" si="17"/>
        <v>0</v>
      </c>
      <c r="Q23" s="106">
        <f t="shared" si="17"/>
        <v>0</v>
      </c>
      <c r="R23" s="106">
        <f t="shared" si="17"/>
        <v>0</v>
      </c>
    </row>
    <row r="24" spans="2:18" s="59" customFormat="1" ht="22.5" customHeight="1" x14ac:dyDescent="0.4">
      <c r="B24" s="70" t="s">
        <v>123</v>
      </c>
      <c r="C24" s="106">
        <f t="shared" ref="C24:J24" si="18">C11-C23</f>
        <v>0</v>
      </c>
      <c r="D24" s="106">
        <f t="shared" si="18"/>
        <v>0</v>
      </c>
      <c r="E24" s="106">
        <f t="shared" si="18"/>
        <v>0</v>
      </c>
      <c r="F24" s="106">
        <f t="shared" si="18"/>
        <v>0</v>
      </c>
      <c r="G24" s="106">
        <f t="shared" si="18"/>
        <v>0</v>
      </c>
      <c r="H24" s="106">
        <f t="shared" si="18"/>
        <v>0</v>
      </c>
      <c r="I24" s="106">
        <f t="shared" si="18"/>
        <v>0</v>
      </c>
      <c r="J24" s="106">
        <f t="shared" si="18"/>
        <v>0</v>
      </c>
      <c r="L24" s="70" t="str">
        <f t="shared" si="12"/>
        <v>経常収支</v>
      </c>
      <c r="M24" s="106">
        <f t="shared" ref="M24:R24" si="19">M11-M23</f>
        <v>0</v>
      </c>
      <c r="N24" s="106">
        <f t="shared" si="19"/>
        <v>0</v>
      </c>
      <c r="O24" s="106">
        <f t="shared" si="19"/>
        <v>0</v>
      </c>
      <c r="P24" s="106">
        <f t="shared" si="19"/>
        <v>0</v>
      </c>
      <c r="Q24" s="106">
        <f t="shared" si="19"/>
        <v>0</v>
      </c>
      <c r="R24" s="106">
        <f t="shared" si="19"/>
        <v>0</v>
      </c>
    </row>
    <row r="25" spans="2:18" s="59" customFormat="1" ht="22.5" customHeight="1" x14ac:dyDescent="0.4">
      <c r="B25" s="135"/>
      <c r="C25" s="136"/>
      <c r="D25" s="136"/>
      <c r="E25" s="136"/>
      <c r="F25" s="136"/>
      <c r="G25" s="136"/>
      <c r="H25" s="136"/>
      <c r="I25" s="136"/>
      <c r="J25" s="136"/>
      <c r="L25" s="135"/>
      <c r="M25" s="136"/>
      <c r="N25" s="136"/>
      <c r="O25" s="136"/>
      <c r="P25" s="136"/>
      <c r="Q25" s="136"/>
      <c r="R25" s="136"/>
    </row>
    <row r="26" spans="2:18" s="59" customFormat="1" ht="22.5" customHeight="1" x14ac:dyDescent="0.4">
      <c r="B26" s="63" t="s">
        <v>95</v>
      </c>
      <c r="C26" s="194"/>
      <c r="D26" s="194"/>
      <c r="E26" s="195"/>
      <c r="F26" s="195"/>
      <c r="G26" s="195"/>
      <c r="H26" s="195"/>
      <c r="I26" s="195"/>
      <c r="J26" s="195"/>
      <c r="L26" s="63" t="str">
        <f t="shared" si="12"/>
        <v>借入金調達</v>
      </c>
      <c r="M26" s="108">
        <f>E26</f>
        <v>0</v>
      </c>
      <c r="N26" s="108">
        <f t="shared" ref="N26:R27" si="20">F26</f>
        <v>0</v>
      </c>
      <c r="O26" s="108">
        <f t="shared" si="20"/>
        <v>0</v>
      </c>
      <c r="P26" s="108">
        <f t="shared" si="20"/>
        <v>0</v>
      </c>
      <c r="Q26" s="108">
        <f t="shared" si="20"/>
        <v>0</v>
      </c>
      <c r="R26" s="108">
        <f t="shared" si="20"/>
        <v>0</v>
      </c>
    </row>
    <row r="27" spans="2:18" s="59" customFormat="1" ht="22.5" customHeight="1" x14ac:dyDescent="0.4">
      <c r="B27" s="63" t="s">
        <v>80</v>
      </c>
      <c r="C27" s="103">
        <f>'資金繰り予定表データ入力（製造原価あり）'!M60</f>
        <v>0</v>
      </c>
      <c r="D27" s="103">
        <f>'資金繰り予定表データ入力（製造原価あり）'!I60</f>
        <v>0</v>
      </c>
      <c r="E27" s="103">
        <f>'資金繰り予定表データ入力（製造原価あり）'!E60</f>
        <v>0</v>
      </c>
      <c r="F27" s="103">
        <f t="shared" ref="F27:I27" si="21">E27</f>
        <v>0</v>
      </c>
      <c r="G27" s="103">
        <f t="shared" si="21"/>
        <v>0</v>
      </c>
      <c r="H27" s="103">
        <f t="shared" si="21"/>
        <v>0</v>
      </c>
      <c r="I27" s="103">
        <f t="shared" si="21"/>
        <v>0</v>
      </c>
      <c r="J27" s="103">
        <f>I27</f>
        <v>0</v>
      </c>
      <c r="L27" s="63" t="str">
        <f t="shared" si="12"/>
        <v>借入金返済</v>
      </c>
      <c r="M27" s="108">
        <f>E27</f>
        <v>0</v>
      </c>
      <c r="N27" s="108">
        <f t="shared" si="20"/>
        <v>0</v>
      </c>
      <c r="O27" s="108">
        <f t="shared" si="20"/>
        <v>0</v>
      </c>
      <c r="P27" s="108">
        <f t="shared" si="20"/>
        <v>0</v>
      </c>
      <c r="Q27" s="108">
        <f t="shared" si="20"/>
        <v>0</v>
      </c>
      <c r="R27" s="108">
        <f t="shared" si="20"/>
        <v>0</v>
      </c>
    </row>
    <row r="28" spans="2:18" s="59" customFormat="1" ht="22.5" customHeight="1" x14ac:dyDescent="0.4">
      <c r="B28" s="63" t="s">
        <v>147</v>
      </c>
      <c r="C28" s="194"/>
      <c r="D28" s="194"/>
      <c r="E28" s="195"/>
      <c r="F28" s="195"/>
      <c r="G28" s="195"/>
      <c r="H28" s="195"/>
      <c r="I28" s="195"/>
      <c r="J28" s="195"/>
      <c r="L28" s="63" t="str">
        <f t="shared" si="12"/>
        <v>設備投資</v>
      </c>
      <c r="M28" s="108">
        <f>E28</f>
        <v>0</v>
      </c>
      <c r="N28" s="108">
        <f>F28</f>
        <v>0</v>
      </c>
      <c r="O28" s="108">
        <f>G28</f>
        <v>0</v>
      </c>
      <c r="P28" s="108">
        <f>H28</f>
        <v>0</v>
      </c>
      <c r="Q28" s="108">
        <f>I28</f>
        <v>0</v>
      </c>
      <c r="R28" s="108">
        <f>J28</f>
        <v>0</v>
      </c>
    </row>
    <row r="29" spans="2:18" s="59" customFormat="1" ht="22.5" customHeight="1" x14ac:dyDescent="0.4">
      <c r="B29" s="70" t="s">
        <v>152</v>
      </c>
      <c r="C29" s="107">
        <f>C26-C27-C28</f>
        <v>0</v>
      </c>
      <c r="D29" s="107">
        <f t="shared" ref="D29:J29" si="22">D26-D27-D28</f>
        <v>0</v>
      </c>
      <c r="E29" s="107">
        <f t="shared" si="22"/>
        <v>0</v>
      </c>
      <c r="F29" s="107">
        <f t="shared" si="22"/>
        <v>0</v>
      </c>
      <c r="G29" s="107">
        <f t="shared" si="22"/>
        <v>0</v>
      </c>
      <c r="H29" s="107">
        <f t="shared" si="22"/>
        <v>0</v>
      </c>
      <c r="I29" s="107">
        <f t="shared" si="22"/>
        <v>0</v>
      </c>
      <c r="J29" s="107">
        <f t="shared" si="22"/>
        <v>0</v>
      </c>
      <c r="L29" s="70" t="str">
        <f t="shared" si="12"/>
        <v>財務収支他</v>
      </c>
      <c r="M29" s="107">
        <f>M26-M27-M28</f>
        <v>0</v>
      </c>
      <c r="N29" s="107">
        <f t="shared" ref="N29:R29" si="23">N26-N27-N28</f>
        <v>0</v>
      </c>
      <c r="O29" s="107">
        <f t="shared" si="23"/>
        <v>0</v>
      </c>
      <c r="P29" s="107">
        <f t="shared" si="23"/>
        <v>0</v>
      </c>
      <c r="Q29" s="107">
        <f t="shared" si="23"/>
        <v>0</v>
      </c>
      <c r="R29" s="107">
        <f t="shared" si="23"/>
        <v>0</v>
      </c>
    </row>
    <row r="30" spans="2:18" s="59" customFormat="1" ht="22.5" customHeight="1" x14ac:dyDescent="0.4">
      <c r="B30" s="70" t="s">
        <v>84</v>
      </c>
      <c r="C30" s="107">
        <f t="shared" ref="C30:J30" si="24">C24+C29</f>
        <v>0</v>
      </c>
      <c r="D30" s="107">
        <f>D24+D29</f>
        <v>0</v>
      </c>
      <c r="E30" s="107">
        <f t="shared" si="24"/>
        <v>0</v>
      </c>
      <c r="F30" s="107">
        <f t="shared" si="24"/>
        <v>0</v>
      </c>
      <c r="G30" s="107">
        <f t="shared" si="24"/>
        <v>0</v>
      </c>
      <c r="H30" s="107">
        <f t="shared" si="24"/>
        <v>0</v>
      </c>
      <c r="I30" s="107">
        <f t="shared" si="24"/>
        <v>0</v>
      </c>
      <c r="J30" s="107">
        <f t="shared" si="24"/>
        <v>0</v>
      </c>
      <c r="L30" s="70" t="str">
        <f t="shared" si="12"/>
        <v>当月収支</v>
      </c>
      <c r="M30" s="107">
        <f t="shared" ref="M30:Q30" si="25">M24+M29</f>
        <v>0</v>
      </c>
      <c r="N30" s="107">
        <f t="shared" si="25"/>
        <v>0</v>
      </c>
      <c r="O30" s="107">
        <f t="shared" si="25"/>
        <v>0</v>
      </c>
      <c r="P30" s="107">
        <f t="shared" si="25"/>
        <v>0</v>
      </c>
      <c r="Q30" s="107">
        <f t="shared" si="25"/>
        <v>0</v>
      </c>
      <c r="R30" s="107">
        <f>R24+R29</f>
        <v>0</v>
      </c>
    </row>
    <row r="31" spans="2:18" s="59" customFormat="1" ht="22.5" customHeight="1" x14ac:dyDescent="0.4">
      <c r="B31" s="206" t="s">
        <v>181</v>
      </c>
      <c r="C31" s="207">
        <f>D6</f>
        <v>0</v>
      </c>
      <c r="D31" s="207">
        <f>'資金繰り予定表データ入力（製造原価あり）'!E63</f>
        <v>0</v>
      </c>
      <c r="E31" s="207">
        <f t="shared" ref="E31:J31" si="26">E6+E30</f>
        <v>0</v>
      </c>
      <c r="F31" s="207">
        <f t="shared" si="26"/>
        <v>0</v>
      </c>
      <c r="G31" s="207">
        <f t="shared" si="26"/>
        <v>0</v>
      </c>
      <c r="H31" s="207">
        <f t="shared" si="26"/>
        <v>0</v>
      </c>
      <c r="I31" s="207">
        <f t="shared" si="26"/>
        <v>0</v>
      </c>
      <c r="J31" s="207">
        <f t="shared" si="26"/>
        <v>0</v>
      </c>
      <c r="L31" s="206" t="str">
        <f t="shared" si="12"/>
        <v>月末現預金残高</v>
      </c>
      <c r="M31" s="207">
        <f t="shared" ref="M31:R31" si="27">M6+M30</f>
        <v>0</v>
      </c>
      <c r="N31" s="207">
        <f t="shared" si="27"/>
        <v>0</v>
      </c>
      <c r="O31" s="207">
        <f t="shared" si="27"/>
        <v>0</v>
      </c>
      <c r="P31" s="207">
        <f t="shared" si="27"/>
        <v>0</v>
      </c>
      <c r="Q31" s="207">
        <f t="shared" si="27"/>
        <v>0</v>
      </c>
      <c r="R31" s="207">
        <f t="shared" si="27"/>
        <v>0</v>
      </c>
    </row>
    <row r="33" spans="2:13" x14ac:dyDescent="0.4">
      <c r="B33" s="216" t="s">
        <v>233</v>
      </c>
      <c r="C33" s="215"/>
      <c r="D33" t="s">
        <v>235</v>
      </c>
    </row>
    <row r="35" spans="2:13" ht="30" x14ac:dyDescent="0.4">
      <c r="B35" s="236"/>
      <c r="C35" s="236"/>
      <c r="D35" s="236"/>
      <c r="E35" s="236"/>
      <c r="F35" s="236"/>
      <c r="G35" s="236"/>
      <c r="H35" s="236"/>
      <c r="I35" s="236"/>
      <c r="J35" s="236"/>
    </row>
    <row r="36" spans="2:13" x14ac:dyDescent="0.4">
      <c r="F36" s="49"/>
      <c r="I36" s="228"/>
      <c r="J36" s="228"/>
      <c r="K36" s="46"/>
      <c r="L36" s="46"/>
      <c r="M36" s="46"/>
    </row>
    <row r="37" spans="2:13" x14ac:dyDescent="0.4">
      <c r="B37"/>
      <c r="C37"/>
      <c r="D37"/>
      <c r="E37" s="229"/>
      <c r="F37" s="229"/>
      <c r="G37" s="96"/>
      <c r="H37" s="55"/>
      <c r="I37" s="55"/>
      <c r="J37" s="55"/>
      <c r="K37" s="110"/>
      <c r="L37" s="110"/>
      <c r="M37" s="96"/>
    </row>
    <row r="38" spans="2:13" x14ac:dyDescent="0.4">
      <c r="B38"/>
      <c r="C38"/>
      <c r="D38"/>
      <c r="E38" s="55"/>
      <c r="F38" s="55"/>
      <c r="G38" s="96"/>
      <c r="H38" s="55"/>
      <c r="I38" s="55"/>
      <c r="J38" s="55"/>
      <c r="K38" s="55"/>
      <c r="L38" s="55"/>
      <c r="M38" s="96"/>
    </row>
    <row r="39" spans="2:13" x14ac:dyDescent="0.4">
      <c r="B39"/>
      <c r="C39"/>
      <c r="D39"/>
      <c r="E39" s="55"/>
      <c r="F39" s="55"/>
      <c r="G39" s="96"/>
      <c r="H39" s="55"/>
      <c r="I39" s="223"/>
      <c r="J39" s="223"/>
      <c r="K39" s="55"/>
      <c r="L39" s="55"/>
      <c r="M39" s="96"/>
    </row>
  </sheetData>
  <mergeCells count="8">
    <mergeCell ref="I39:J39"/>
    <mergeCell ref="E1:P1"/>
    <mergeCell ref="B4:G4"/>
    <mergeCell ref="L4:O4"/>
    <mergeCell ref="I36:J36"/>
    <mergeCell ref="E37:F37"/>
    <mergeCell ref="B35:J35"/>
    <mergeCell ref="I4:J4"/>
  </mergeCells>
  <phoneticPr fontId="3"/>
  <printOptions horizontalCentered="1" verticalCentered="1"/>
  <pageMargins left="0.51181102362204722" right="0.51181102362204722" top="0.55118110236220474" bottom="0.55118110236220474" header="0.31496062992125984" footer="0.31496062992125984"/>
  <pageSetup paperSize="8" scale="85"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2516A6-AD2A-4F3C-861E-540C860AF1A1}">
  <sheetPr>
    <tabColor rgb="FFFF0000"/>
  </sheetPr>
  <dimension ref="B1:T63"/>
  <sheetViews>
    <sheetView view="pageBreakPreview" topLeftCell="B25" zoomScale="75" zoomScaleNormal="55" zoomScaleSheetLayoutView="75" workbookViewId="0">
      <selection activeCell="Q61" sqref="Q61"/>
    </sheetView>
  </sheetViews>
  <sheetFormatPr defaultColWidth="9" defaultRowHeight="18.75" x14ac:dyDescent="0.4"/>
  <cols>
    <col min="1" max="1" width="1.5" customWidth="1"/>
    <col min="2" max="2" width="67.875" customWidth="1"/>
    <col min="3" max="3" width="9.5" customWidth="1"/>
    <col min="4" max="5" width="9" style="148" customWidth="1"/>
    <col min="6" max="6" width="5.25" style="148" bestFit="1" customWidth="1"/>
    <col min="7" max="14" width="9" customWidth="1"/>
    <col min="16" max="16" width="5.25" bestFit="1" customWidth="1"/>
    <col min="17" max="17" width="4.875" customWidth="1"/>
  </cols>
  <sheetData>
    <row r="1" spans="2:20" x14ac:dyDescent="0.4">
      <c r="B1" s="147" t="s">
        <v>240</v>
      </c>
      <c r="C1" s="200">
        <v>45017</v>
      </c>
      <c r="D1" s="214" t="s">
        <v>233</v>
      </c>
      <c r="E1" s="205"/>
      <c r="F1" s="148" t="s">
        <v>234</v>
      </c>
    </row>
    <row r="2" spans="2:20" x14ac:dyDescent="0.4">
      <c r="B2" s="86" t="s">
        <v>164</v>
      </c>
      <c r="C2" s="149" t="s">
        <v>171</v>
      </c>
    </row>
    <row r="3" spans="2:20" x14ac:dyDescent="0.4">
      <c r="B3" s="44" t="s">
        <v>215</v>
      </c>
      <c r="C3" s="142">
        <f>'資金繰り予定表 (製造原価あり)'!$C$5</f>
        <v>44958</v>
      </c>
      <c r="D3" s="150" t="s">
        <v>46</v>
      </c>
      <c r="E3" s="199"/>
      <c r="F3" s="151" t="s">
        <v>45</v>
      </c>
      <c r="G3" s="46"/>
      <c r="H3" s="137" t="s">
        <v>54</v>
      </c>
      <c r="I3" s="199"/>
      <c r="J3" s="148" t="s">
        <v>45</v>
      </c>
      <c r="L3" s="217">
        <f>EDATE('資金繰り予定表データ入力（製造原価あり）'!C1,-3)</f>
        <v>44927</v>
      </c>
      <c r="M3" s="144">
        <f>'資金繰り予定表 (製造原価あり)'!$C$5</f>
        <v>44958</v>
      </c>
      <c r="N3" s="160" t="s">
        <v>76</v>
      </c>
      <c r="O3" s="203"/>
      <c r="P3" s="46" t="s">
        <v>45</v>
      </c>
      <c r="Q3" s="46"/>
      <c r="R3" s="137" t="s">
        <v>175</v>
      </c>
      <c r="S3" s="203"/>
      <c r="T3" t="s">
        <v>45</v>
      </c>
    </row>
    <row r="4" spans="2:20" x14ac:dyDescent="0.4">
      <c r="C4" s="143">
        <f>'資金繰り予定表 (製造原価あり)'!$D$5</f>
        <v>44986</v>
      </c>
      <c r="D4" s="150" t="s">
        <v>46</v>
      </c>
      <c r="E4" s="199"/>
      <c r="F4" s="151" t="s">
        <v>45</v>
      </c>
      <c r="G4" s="46"/>
      <c r="H4" s="137" t="s">
        <v>54</v>
      </c>
      <c r="I4" s="199"/>
      <c r="J4" s="148" t="s">
        <v>45</v>
      </c>
      <c r="L4" s="238" t="s">
        <v>144</v>
      </c>
      <c r="M4" s="145">
        <f>'資金繰り予定表 (製造原価あり)'!$D$5</f>
        <v>44986</v>
      </c>
      <c r="N4" s="160" t="s">
        <v>76</v>
      </c>
      <c r="O4" s="203"/>
      <c r="P4" s="46" t="s">
        <v>45</v>
      </c>
      <c r="Q4" s="46"/>
      <c r="R4" s="137" t="s">
        <v>175</v>
      </c>
      <c r="S4" s="203"/>
      <c r="T4" t="s">
        <v>45</v>
      </c>
    </row>
    <row r="5" spans="2:20" ht="18.75" customHeight="1" x14ac:dyDescent="0.4">
      <c r="B5" s="44" t="s">
        <v>216</v>
      </c>
      <c r="C5" s="143">
        <f>'資金繰り予定表 (製造原価あり)'!$E$5</f>
        <v>45017</v>
      </c>
      <c r="D5" s="150" t="s">
        <v>46</v>
      </c>
      <c r="E5" s="199"/>
      <c r="F5" s="151" t="s">
        <v>45</v>
      </c>
      <c r="G5" s="46"/>
      <c r="H5" s="137" t="s">
        <v>54</v>
      </c>
      <c r="I5" s="199"/>
      <c r="J5" s="148" t="s">
        <v>45</v>
      </c>
      <c r="L5" s="239"/>
      <c r="M5" s="145">
        <f>'資金繰り予定表 (製造原価あり)'!$E$5</f>
        <v>45017</v>
      </c>
      <c r="N5" s="161" t="s">
        <v>76</v>
      </c>
      <c r="O5" s="203"/>
      <c r="P5" s="46" t="s">
        <v>45</v>
      </c>
      <c r="Q5" s="46"/>
      <c r="R5" s="152" t="s">
        <v>175</v>
      </c>
      <c r="S5" s="203"/>
      <c r="T5" t="s">
        <v>45</v>
      </c>
    </row>
    <row r="6" spans="2:20" ht="18.75" customHeight="1" x14ac:dyDescent="0.4">
      <c r="C6" s="143">
        <f>'資金繰り予定表 (製造原価あり)'!$F$5</f>
        <v>45047</v>
      </c>
      <c r="D6" s="150" t="s">
        <v>46</v>
      </c>
      <c r="E6" s="199"/>
      <c r="F6" s="151" t="s">
        <v>45</v>
      </c>
      <c r="G6" s="46"/>
      <c r="H6" s="137" t="s">
        <v>54</v>
      </c>
      <c r="I6" s="199"/>
      <c r="J6" s="148" t="s">
        <v>45</v>
      </c>
      <c r="L6" s="239"/>
      <c r="M6" s="145">
        <f>'資金繰り予定表 (製造原価あり)'!$F$5</f>
        <v>45047</v>
      </c>
      <c r="N6" s="161" t="s">
        <v>76</v>
      </c>
      <c r="O6" s="203"/>
      <c r="P6" s="46" t="s">
        <v>45</v>
      </c>
      <c r="Q6" s="46"/>
      <c r="R6" s="152" t="s">
        <v>175</v>
      </c>
      <c r="S6" s="203"/>
      <c r="T6" t="s">
        <v>45</v>
      </c>
    </row>
    <row r="7" spans="2:20" ht="18.75" customHeight="1" x14ac:dyDescent="0.4">
      <c r="C7" s="143">
        <f>'資金繰り予定表 (製造原価あり)'!$G$5</f>
        <v>45078</v>
      </c>
      <c r="D7" s="150" t="s">
        <v>46</v>
      </c>
      <c r="E7" s="199"/>
      <c r="F7" s="151" t="s">
        <v>45</v>
      </c>
      <c r="G7" s="46"/>
      <c r="H7" s="137" t="s">
        <v>54</v>
      </c>
      <c r="I7" s="199"/>
      <c r="J7" s="148" t="s">
        <v>45</v>
      </c>
      <c r="L7" s="239"/>
      <c r="M7" s="145">
        <f>'資金繰り予定表 (製造原価あり)'!$G$5</f>
        <v>45078</v>
      </c>
      <c r="N7" s="161" t="s">
        <v>76</v>
      </c>
      <c r="O7" s="203"/>
      <c r="P7" s="46" t="s">
        <v>45</v>
      </c>
      <c r="Q7" s="46"/>
      <c r="R7" s="152" t="s">
        <v>175</v>
      </c>
      <c r="S7" s="203"/>
      <c r="T7" t="s">
        <v>45</v>
      </c>
    </row>
    <row r="8" spans="2:20" x14ac:dyDescent="0.4">
      <c r="C8" s="143">
        <f>'資金繰り予定表 (製造原価あり)'!$H$5</f>
        <v>45108</v>
      </c>
      <c r="D8" s="150" t="s">
        <v>46</v>
      </c>
      <c r="E8" s="199"/>
      <c r="F8" s="151" t="s">
        <v>45</v>
      </c>
      <c r="G8" s="46"/>
      <c r="H8" s="137" t="s">
        <v>54</v>
      </c>
      <c r="I8" s="199"/>
      <c r="J8" s="148" t="s">
        <v>45</v>
      </c>
      <c r="L8" s="239"/>
      <c r="M8" s="145">
        <f>'資金繰り予定表 (製造原価あり)'!$H$5</f>
        <v>45108</v>
      </c>
      <c r="N8" s="161" t="s">
        <v>76</v>
      </c>
      <c r="O8" s="203"/>
      <c r="P8" s="46" t="s">
        <v>45</v>
      </c>
      <c r="Q8" s="46"/>
      <c r="R8" s="152" t="s">
        <v>175</v>
      </c>
      <c r="S8" s="203"/>
      <c r="T8" t="s">
        <v>45</v>
      </c>
    </row>
    <row r="9" spans="2:20" x14ac:dyDescent="0.4">
      <c r="C9" s="143">
        <f>'資金繰り予定表 (製造原価あり)'!$I$5</f>
        <v>45139</v>
      </c>
      <c r="D9" s="150" t="s">
        <v>46</v>
      </c>
      <c r="E9" s="199"/>
      <c r="F9" s="151" t="s">
        <v>45</v>
      </c>
      <c r="G9" s="46"/>
      <c r="H9" s="137" t="s">
        <v>54</v>
      </c>
      <c r="I9" s="199"/>
      <c r="J9" s="148" t="s">
        <v>45</v>
      </c>
      <c r="L9" s="239"/>
      <c r="M9" s="145">
        <f>'資金繰り予定表 (製造原価あり)'!$I$5</f>
        <v>45139</v>
      </c>
      <c r="N9" s="161" t="s">
        <v>76</v>
      </c>
      <c r="O9" s="203"/>
      <c r="P9" s="46" t="s">
        <v>45</v>
      </c>
      <c r="Q9" s="46"/>
      <c r="R9" s="152" t="s">
        <v>175</v>
      </c>
      <c r="S9" s="203"/>
      <c r="T9" t="s">
        <v>45</v>
      </c>
    </row>
    <row r="10" spans="2:20" x14ac:dyDescent="0.4">
      <c r="C10" s="143">
        <f>'資金繰り予定表 (製造原価あり)'!$J$5</f>
        <v>45170</v>
      </c>
      <c r="D10" s="150" t="s">
        <v>46</v>
      </c>
      <c r="E10" s="199"/>
      <c r="F10" s="151" t="s">
        <v>45</v>
      </c>
      <c r="G10" s="46"/>
      <c r="H10" s="137" t="s">
        <v>54</v>
      </c>
      <c r="I10" s="199"/>
      <c r="J10" s="148" t="s">
        <v>45</v>
      </c>
      <c r="L10" s="240"/>
      <c r="M10" s="146">
        <f>'資金繰り予定表 (製造原価あり)'!$J$5</f>
        <v>45170</v>
      </c>
      <c r="N10" s="161" t="s">
        <v>76</v>
      </c>
      <c r="O10" s="203"/>
      <c r="P10" s="46" t="s">
        <v>45</v>
      </c>
      <c r="Q10" s="46"/>
      <c r="R10" s="152" t="s">
        <v>175</v>
      </c>
      <c r="S10" s="203"/>
      <c r="T10" t="s">
        <v>45</v>
      </c>
    </row>
    <row r="11" spans="2:20" x14ac:dyDescent="0.4">
      <c r="B11" s="86" t="s">
        <v>168</v>
      </c>
      <c r="C11" s="148"/>
      <c r="E11" s="159"/>
    </row>
    <row r="12" spans="2:20" ht="18.75" customHeight="1" x14ac:dyDescent="0.4">
      <c r="B12" t="s">
        <v>217</v>
      </c>
      <c r="C12" s="193" t="s">
        <v>193</v>
      </c>
      <c r="D12" s="138">
        <f>IF(J13&lt;=30,H13*I13,"0")+IF(L13&lt;=30,H13*K13,"0")+IF(J14&lt;=30,H14*I14,"0")+IF(L14&lt;=30,H14*K14,"0")+IF(J15&lt;=30,H15*I15,"0")+IF(L15&lt;=30,H15*K15,"0")+IF(J16&lt;=30,H16*I16,"0")+IF(L16&lt;=30,H16*K16,"0")+IF(J17&lt;=30,H17*I17,"0")+IF(L17&lt;=30,H17*K17,"0")</f>
        <v>0.4</v>
      </c>
      <c r="F12" s="241" t="s">
        <v>206</v>
      </c>
      <c r="G12" s="190" t="s">
        <v>192</v>
      </c>
      <c r="H12" s="189" t="s">
        <v>205</v>
      </c>
      <c r="I12" s="189" t="s">
        <v>203</v>
      </c>
      <c r="J12" s="189" t="s">
        <v>202</v>
      </c>
      <c r="K12" s="189" t="s">
        <v>204</v>
      </c>
      <c r="L12" s="189" t="s">
        <v>202</v>
      </c>
      <c r="M12" s="178"/>
      <c r="N12" s="178"/>
    </row>
    <row r="13" spans="2:20" x14ac:dyDescent="0.4">
      <c r="B13" s="185" t="s">
        <v>208</v>
      </c>
      <c r="C13" s="193" t="s">
        <v>194</v>
      </c>
      <c r="D13" s="138">
        <f>IF(AND(J13&gt;30,J13&lt;=60),H13*I13,"0")+IF(AND(L13&gt;30,L13&lt;=60),H13*K13,"0")+IF(AND(J14&gt;30,J14&lt;=60),H14*I14,"0")+IF(AND(L14&gt;30,L14&lt;=60),H14*K14,"0")+IF(AND(J15&gt;30,J15&lt;=60),H15*I15,"0")+IF(AND(L15&gt;30,L15&lt;=60),H15*K15,"0")+IF(AND(J16&gt;30,J16&lt;=60),H16*I16,"0")+IF(AND(L16&gt;30,L16&lt;=60),H16*K16,"0")+IF(AND(J17&gt;30,J17&lt;=60),H17*I17,"0")+IF(AND(L17&gt;30,L17&lt;=60),H17*K17)</f>
        <v>0.3</v>
      </c>
      <c r="F13" s="241"/>
      <c r="G13" s="204" t="s">
        <v>185</v>
      </c>
      <c r="H13" s="198">
        <v>0.6</v>
      </c>
      <c r="I13" s="198">
        <v>0.5</v>
      </c>
      <c r="J13" s="197"/>
      <c r="K13" s="198">
        <v>0.5</v>
      </c>
      <c r="L13" s="197">
        <v>90</v>
      </c>
      <c r="M13" s="179"/>
      <c r="N13" s="180"/>
    </row>
    <row r="14" spans="2:20" x14ac:dyDescent="0.4">
      <c r="C14" s="193" t="s">
        <v>195</v>
      </c>
      <c r="D14" s="138">
        <f>IF(AND(J13&gt;60,J13&lt;=90),H13*I13,"0")+IF(AND(L13&gt;60,L13&lt;=90),H13*K13,"0")+IF(AND(J14&gt;60,J14&lt;=90),H14*I14,"0")+IF(AND(L14&gt;60,L14&lt;=90),H14*K14,"0")+IF(AND(J15&gt;60,J15&lt;=90),H15*I15,"0")+IF(AND(L15&gt;60,L15&lt;=90),H15*K15,"0")+IF(AND(J16&gt;60,J16&lt;=90),H16*I16,"0")+IF(AND(L16&gt;60,L16&lt;=90),H16*K16,"0")+IF(AND(J17&gt;60,J17&lt;=90),H17*I17,"0")+IF(AND(L17&gt;60,L17&lt;=90),H17*K17)</f>
        <v>0.3</v>
      </c>
      <c r="F14" s="241"/>
      <c r="G14" s="204" t="s">
        <v>186</v>
      </c>
      <c r="H14" s="198">
        <v>0.3</v>
      </c>
      <c r="I14" s="198">
        <v>0.5</v>
      </c>
      <c r="J14" s="197">
        <v>60</v>
      </c>
      <c r="K14" s="198">
        <v>0.5</v>
      </c>
      <c r="L14" s="197">
        <v>60</v>
      </c>
      <c r="M14" s="179"/>
      <c r="N14" s="180"/>
    </row>
    <row r="15" spans="2:20" x14ac:dyDescent="0.4">
      <c r="C15" s="193" t="s">
        <v>196</v>
      </c>
      <c r="D15" s="138">
        <f>IF(AND(J13&gt;90,J13&lt;=120),H13*I13,"0")+IF(AND(L13&gt;90,L13&lt;=120),H13*K13,"0")+IF(AND(J14&gt;90,J14&lt;=120),H14*I14,"0")+IF(AND(L14&gt;90,L14&lt;=120),H14*K14,"0")+IF(AND(J15&gt;90,J15&lt;=120),H15*I15,"0")+IF(AND(L15&gt;90,L15&lt;=120),H15*K15,"0")+IF(AND(J16&gt;90,J16&lt;=120),H16*I16,"0")+IF(AND(L16&gt;90,L16&lt;=120),H16*K16,"0")+IF(AND(J17&gt;90,J17&lt;=120),H17*I17,"0")+IF(AND(L17&gt;90,L17&lt;=120),H17*K17)</f>
        <v>0</v>
      </c>
      <c r="F15" s="241"/>
      <c r="G15" s="204" t="s">
        <v>187</v>
      </c>
      <c r="H15" s="198">
        <v>0.1</v>
      </c>
      <c r="I15" s="198">
        <v>1</v>
      </c>
      <c r="J15" s="197">
        <v>30</v>
      </c>
      <c r="K15" s="202"/>
      <c r="L15" s="197"/>
      <c r="M15" s="180"/>
      <c r="N15" s="180"/>
    </row>
    <row r="16" spans="2:20" x14ac:dyDescent="0.4">
      <c r="C16" s="193" t="s">
        <v>197</v>
      </c>
      <c r="D16" s="138">
        <f>IF(AND(J13&gt;120,J13&lt;=150),H13*I13,"0")+IF(AND(L13&gt;120,L13&lt;=150),H13*K13,"0")+IF(AND(J14&gt;120,J14&lt;=150),H14*I14,"0")+IF(AND(L14&gt;120,L14&lt;=150),H14*K14,"0")+IF(AND(J15&gt;120,J15&lt;=150),H15*I15,"0")+IF(AND(L15&gt;120,L15&lt;=150),H15*K15,"0")+IF(AND(J16&gt;120,J16&lt;=150),H16*I16,"0")+IF(AND(L16&gt;120,L16&lt;=150),H16*K16,"0")+IF(AND(J17&gt;120,J17&lt;=150),H17*I17,"0")+IF(AND(L17&gt;120,L17&lt;=150),H17*K17)</f>
        <v>0</v>
      </c>
      <c r="E16" s="183" t="s">
        <v>191</v>
      </c>
      <c r="F16" s="241"/>
      <c r="G16" s="204"/>
      <c r="H16" s="202"/>
      <c r="I16" s="202"/>
      <c r="J16" s="197"/>
      <c r="K16" s="202"/>
      <c r="L16" s="197"/>
      <c r="M16" s="180"/>
      <c r="N16" s="180"/>
    </row>
    <row r="17" spans="2:14" x14ac:dyDescent="0.4">
      <c r="C17" s="193" t="s">
        <v>198</v>
      </c>
      <c r="D17" s="138">
        <f>IF(J13&gt;150,H13*I13,"0")+IF(L13&gt;150,H13*K13,"0")+IF(J14&gt;150,H14*I14,"0")+IF(L14&gt;150,H14*K14,"0")+IF(J15&gt;150,H15*I15,"0")+IF(L15&gt;150,H15*K15,"0")+IF(J16&gt;150,H16*I16,"0")+IF(L16&gt;150,H16*K16,"0")+IF(J17&gt;150,H17*I17,"0")+IF(L17&gt;150,H17*K17,"0")</f>
        <v>0</v>
      </c>
      <c r="F17" s="241"/>
      <c r="G17" s="204"/>
      <c r="H17" s="202"/>
      <c r="I17" s="202"/>
      <c r="J17" s="197"/>
      <c r="K17" s="202"/>
      <c r="L17" s="197"/>
      <c r="M17" s="180"/>
      <c r="N17" s="180"/>
    </row>
    <row r="18" spans="2:14" x14ac:dyDescent="0.4">
      <c r="B18" s="86" t="s">
        <v>167</v>
      </c>
      <c r="C18" s="186"/>
      <c r="E18" s="156"/>
    </row>
    <row r="19" spans="2:14" ht="18.75" customHeight="1" x14ac:dyDescent="0.4">
      <c r="B19" t="s">
        <v>218</v>
      </c>
      <c r="C19" s="193" t="s">
        <v>193</v>
      </c>
      <c r="D19" s="138">
        <f>IF(J20&lt;=30,H20*I20,"0")+IF(L20&lt;=30,H20*K20,"0")+IF(J21&lt;=30,H21*I21,"0")+IF(L21&lt;=30,H21*K21,"0")+IF(J22&lt;=30,H22*I22,"0")+IF(L22&lt;=30,H22*K22,"0")+IF(J23&lt;=30,H23*I23,"0")+IF(L23&lt;=30,H23*K23,"0")+IF(J24&lt;=30,H24*I24,"0")+IF(L24&lt;=30,H24*K24,"0")</f>
        <v>0.4</v>
      </c>
      <c r="F19" s="241" t="s">
        <v>207</v>
      </c>
      <c r="G19" s="189" t="s">
        <v>192</v>
      </c>
      <c r="H19" s="189" t="s">
        <v>205</v>
      </c>
      <c r="I19" s="189" t="s">
        <v>203</v>
      </c>
      <c r="J19" s="189" t="s">
        <v>202</v>
      </c>
      <c r="K19" s="189" t="s">
        <v>204</v>
      </c>
      <c r="L19" s="189" t="s">
        <v>202</v>
      </c>
      <c r="M19" s="178"/>
      <c r="N19" s="178"/>
    </row>
    <row r="20" spans="2:14" x14ac:dyDescent="0.4">
      <c r="B20" s="185" t="s">
        <v>209</v>
      </c>
      <c r="C20" s="193" t="s">
        <v>194</v>
      </c>
      <c r="D20" s="138">
        <f>IF(AND(J20&gt;30,J20&lt;=60),H20*I20,"0")+IF(AND(L20&gt;30,L20&lt;=60),H20*K20,"0")+IF(AND(J21&gt;30,J21&lt;=60),H21*I21,"0")+IF(AND(L21&gt;30,L21&lt;=60),H21*K21,"0")+IF(AND(J22&gt;30,J22&lt;=60),H22*I22,"0")+IF(AND(L22&gt;30,L22&lt;=60),H22*K22,"0")+IF(AND(J23&gt;30,J23&lt;=60),H23*I23,"0")+IF(AND(L23&gt;30,L23&lt;=60),H23*K23,"0")+IF(AND(J24&gt;30,J24&lt;=60),H24*I24,"0")+IF(AND(L24&gt;30,L24&lt;=60),H24*K24)</f>
        <v>0.3</v>
      </c>
      <c r="F20" s="241"/>
      <c r="G20" s="205" t="s">
        <v>188</v>
      </c>
      <c r="H20" s="198">
        <v>0.6</v>
      </c>
      <c r="I20" s="198">
        <v>0.5</v>
      </c>
      <c r="J20" s="197"/>
      <c r="K20" s="198">
        <v>0.5</v>
      </c>
      <c r="L20" s="197">
        <v>90</v>
      </c>
      <c r="M20" s="179"/>
      <c r="N20" s="180"/>
    </row>
    <row r="21" spans="2:14" x14ac:dyDescent="0.4">
      <c r="C21" s="193" t="s">
        <v>195</v>
      </c>
      <c r="D21" s="138">
        <f>IF(AND(J20&gt;60,J20&lt;=90),H20*I20,"0")+IF(AND(L20&gt;60,L20&lt;=90),H20*K20,"0")+IF(AND(J21&gt;60,J21&lt;=90),H21*I21,"0")+IF(AND(L21&gt;60,L21&lt;=90),H21*K21,"0")+IF(AND(J22&gt;60,J22&lt;=90),H22*I22,"0")+IF(AND(L22&gt;60,L22&lt;=90),H22*K22,"0")+IF(AND(J23&gt;60,J23&lt;=90),H23*I23,"0")+IF(AND(L23&gt;60,L23&lt;=90),H23*K23,"0")+IF(AND(J24&gt;60,J24&lt;=90),H24*I24,"0")+IF(AND(L24&gt;60,L24&lt;=90),H24*K24)</f>
        <v>0.3</v>
      </c>
      <c r="F21" s="241"/>
      <c r="G21" s="205" t="s">
        <v>189</v>
      </c>
      <c r="H21" s="198">
        <v>0.3</v>
      </c>
      <c r="I21" s="198">
        <v>0.5</v>
      </c>
      <c r="J21" s="197">
        <v>60</v>
      </c>
      <c r="K21" s="198">
        <v>0.5</v>
      </c>
      <c r="L21" s="197">
        <v>60</v>
      </c>
      <c r="M21" s="179"/>
      <c r="N21" s="180"/>
    </row>
    <row r="22" spans="2:14" x14ac:dyDescent="0.4">
      <c r="C22" s="193" t="s">
        <v>196</v>
      </c>
      <c r="D22" s="138">
        <f>IF(AND(J20&gt;90,J20&lt;=120),H20*I20,"0")+IF(AND(L20&gt;90,L20&lt;=120),H20*K20,"0")+IF(AND(J21&gt;90,J21&lt;=120),H21*I21,"0")+IF(AND(L21&gt;90,L21&lt;=120),H21*K21,"0")+IF(AND(J22&gt;90,J22&lt;=120),H22*I22,"0")+IF(AND(L22&gt;90,L22&lt;=120),H22*K22,"0")+IF(AND(J23&gt;90,J23&lt;=120),H23*I23,"0")+IF(AND(L23&gt;90,L23&lt;=120),H23*K23,"0")+IF(AND(J24&gt;90,J24&lt;=120),H24*I24,"0")+IF(AND(L24&gt;90,L24&lt;=120),H24*K24)</f>
        <v>0</v>
      </c>
      <c r="F22" s="241"/>
      <c r="G22" s="205" t="s">
        <v>190</v>
      </c>
      <c r="H22" s="198">
        <v>0.1</v>
      </c>
      <c r="I22" s="198">
        <v>1</v>
      </c>
      <c r="J22" s="197">
        <v>30</v>
      </c>
      <c r="K22" s="202"/>
      <c r="L22" s="197"/>
      <c r="M22" s="181"/>
      <c r="N22" s="180"/>
    </row>
    <row r="23" spans="2:14" x14ac:dyDescent="0.4">
      <c r="C23" s="193" t="s">
        <v>197</v>
      </c>
      <c r="D23" s="138">
        <f>IF(AND(J20&gt;120,J20&lt;=150),H20*I20,"0")+IF(AND(L20&gt;120,L20&lt;=150),H20*K20,"0")+IF(AND(J21&gt;120,J21&lt;=150),H21*I21,"0")+IF(AND(L21&gt;120,L21&lt;=150),H21*K21,"0")+IF(AND(J22&gt;120,J22&lt;=150),H22*I22,"0")+IF(AND(L22&gt;120,L22&lt;=150),H22*K22,"0")+IF(AND(J23&gt;120,J23&lt;=150),H23*I23,"0")+IF(AND(L23&gt;120,L23&lt;=150),H23*K23,"0")+IF(AND(J24&gt;120,J24&lt;=150),H24*I24,"0")+IF(AND(L24&gt;120,L24&lt;=150),H24*K24)</f>
        <v>0</v>
      </c>
      <c r="E23" s="183" t="s">
        <v>191</v>
      </c>
      <c r="F23" s="241"/>
      <c r="G23" s="205" t="s">
        <v>173</v>
      </c>
      <c r="H23" s="202"/>
      <c r="I23" s="202"/>
      <c r="J23" s="197"/>
      <c r="K23" s="202"/>
      <c r="L23" s="197"/>
      <c r="M23" s="181"/>
      <c r="N23" s="180"/>
    </row>
    <row r="24" spans="2:14" x14ac:dyDescent="0.4">
      <c r="C24" s="193" t="s">
        <v>198</v>
      </c>
      <c r="D24" s="138">
        <f>IF(J20&gt;150,H20*I20,"0")+IF(L20&gt;150,H20*K20,"0")+IF(J21&gt;150,H21*I21,"0")+IF(L21&gt;150,H21*K21,"0")+IF(J22&gt;150,H22*I22,"0")+IF(L22&gt;150,H22*K22,"0")+IF(J23&gt;150,H23*I23,"0")+IF(L23&gt;150,H23*K23,"0")+IF(J24&gt;150,H24*I24,"0")+IF(L24&gt;150,H24*K24,"0")</f>
        <v>0</v>
      </c>
      <c r="F24" s="241"/>
      <c r="G24" s="205"/>
      <c r="H24" s="202"/>
      <c r="I24" s="202"/>
      <c r="J24" s="197"/>
      <c r="K24" s="202"/>
      <c r="L24" s="197"/>
      <c r="M24" s="181"/>
      <c r="N24" s="180"/>
    </row>
    <row r="25" spans="2:14" x14ac:dyDescent="0.4">
      <c r="C25" s="155"/>
      <c r="E25" s="156"/>
      <c r="H25" s="157"/>
      <c r="J25" s="94"/>
      <c r="K25" s="94"/>
      <c r="M25" s="94"/>
    </row>
    <row r="26" spans="2:14" x14ac:dyDescent="0.4">
      <c r="B26" s="86" t="s">
        <v>177</v>
      </c>
      <c r="C26" s="149" t="s">
        <v>171</v>
      </c>
      <c r="E26" s="156"/>
      <c r="H26" s="157"/>
      <c r="J26" s="94"/>
      <c r="K26" s="94"/>
      <c r="M26" s="94"/>
    </row>
    <row r="27" spans="2:14" x14ac:dyDescent="0.4">
      <c r="B27" t="s">
        <v>214</v>
      </c>
      <c r="C27" s="142">
        <f>'資金繰り予定表 (製造原価あり)'!$C$5</f>
        <v>44958</v>
      </c>
      <c r="D27" s="182" t="s">
        <v>149</v>
      </c>
      <c r="E27" s="199"/>
      <c r="F27" s="151" t="s">
        <v>45</v>
      </c>
      <c r="H27" s="157"/>
      <c r="J27" s="94"/>
      <c r="K27" s="94"/>
      <c r="M27" s="94"/>
    </row>
    <row r="28" spans="2:14" x14ac:dyDescent="0.4">
      <c r="C28" s="143">
        <f>'資金繰り予定表 (製造原価あり)'!$D$5</f>
        <v>44986</v>
      </c>
      <c r="D28" s="182" t="s">
        <v>149</v>
      </c>
      <c r="E28" s="199"/>
      <c r="F28" s="151" t="s">
        <v>45</v>
      </c>
      <c r="H28" s="157"/>
      <c r="J28" s="94"/>
      <c r="K28" s="94"/>
      <c r="M28" s="94"/>
    </row>
    <row r="29" spans="2:14" x14ac:dyDescent="0.4">
      <c r="C29" s="143">
        <f>'資金繰り予定表 (製造原価あり)'!$E$5</f>
        <v>45017</v>
      </c>
      <c r="D29" s="182" t="s">
        <v>149</v>
      </c>
      <c r="E29" s="199"/>
      <c r="F29" s="151" t="s">
        <v>45</v>
      </c>
      <c r="H29" s="157"/>
      <c r="J29" s="94"/>
      <c r="K29" s="94"/>
      <c r="M29" s="94"/>
    </row>
    <row r="30" spans="2:14" x14ac:dyDescent="0.4">
      <c r="C30" s="143">
        <f>'資金繰り予定表 (製造原価あり)'!$F$5</f>
        <v>45047</v>
      </c>
      <c r="D30" s="182" t="s">
        <v>149</v>
      </c>
      <c r="E30" s="199"/>
      <c r="F30" s="151" t="s">
        <v>45</v>
      </c>
      <c r="H30" s="157"/>
      <c r="J30" s="94"/>
      <c r="K30" s="94"/>
      <c r="M30" s="94"/>
    </row>
    <row r="31" spans="2:14" x14ac:dyDescent="0.4">
      <c r="C31" s="143">
        <f>'資金繰り予定表 (製造原価あり)'!$G$5</f>
        <v>45078</v>
      </c>
      <c r="D31" s="182" t="s">
        <v>149</v>
      </c>
      <c r="E31" s="199"/>
      <c r="F31" s="151" t="s">
        <v>45</v>
      </c>
      <c r="H31" s="157"/>
      <c r="J31" s="94"/>
      <c r="K31" s="94"/>
      <c r="M31" s="94"/>
    </row>
    <row r="32" spans="2:14" x14ac:dyDescent="0.4">
      <c r="C32" s="143">
        <f>'資金繰り予定表 (製造原価あり)'!$H$5</f>
        <v>45108</v>
      </c>
      <c r="D32" s="182" t="s">
        <v>149</v>
      </c>
      <c r="E32" s="199"/>
      <c r="F32" s="151" t="s">
        <v>45</v>
      </c>
      <c r="H32" s="157"/>
      <c r="J32" s="94"/>
      <c r="K32" s="94"/>
      <c r="M32" s="94"/>
    </row>
    <row r="33" spans="2:19" x14ac:dyDescent="0.4">
      <c r="C33" s="143">
        <f>'資金繰り予定表 (製造原価あり)'!$I$5</f>
        <v>45139</v>
      </c>
      <c r="D33" s="182" t="s">
        <v>149</v>
      </c>
      <c r="E33" s="199"/>
      <c r="F33" s="151" t="s">
        <v>45</v>
      </c>
      <c r="H33" s="157"/>
      <c r="J33" s="94"/>
      <c r="K33" s="94"/>
      <c r="M33" s="94"/>
    </row>
    <row r="34" spans="2:19" x14ac:dyDescent="0.4">
      <c r="C34" s="143">
        <f>'資金繰り予定表 (製造原価あり)'!$J$5</f>
        <v>45170</v>
      </c>
      <c r="D34" s="182" t="s">
        <v>149</v>
      </c>
      <c r="E34" s="199"/>
      <c r="F34" s="151" t="s">
        <v>45</v>
      </c>
      <c r="H34" s="157"/>
      <c r="J34" s="94"/>
      <c r="K34" s="94"/>
      <c r="M34" s="94"/>
    </row>
    <row r="35" spans="2:19" x14ac:dyDescent="0.4">
      <c r="C35" s="143"/>
      <c r="E35" s="151"/>
      <c r="F35" s="151"/>
      <c r="H35" s="157"/>
      <c r="J35" s="94"/>
      <c r="K35" s="94"/>
      <c r="M35" s="94"/>
    </row>
    <row r="36" spans="2:19" x14ac:dyDescent="0.4">
      <c r="B36" s="86" t="s">
        <v>166</v>
      </c>
      <c r="C36" s="143"/>
      <c r="E36" s="151"/>
      <c r="F36" s="151"/>
      <c r="H36" s="157"/>
      <c r="J36" s="94"/>
      <c r="K36" s="94"/>
      <c r="M36" s="94"/>
    </row>
    <row r="37" spans="2:19" x14ac:dyDescent="0.4">
      <c r="B37" t="s">
        <v>179</v>
      </c>
      <c r="C37" s="142">
        <f>'資金繰り予定表 (製造原価あり)'!$C$5</f>
        <v>44958</v>
      </c>
      <c r="D37" s="150" t="s">
        <v>48</v>
      </c>
      <c r="E37" s="199"/>
      <c r="F37" s="151" t="s">
        <v>45</v>
      </c>
      <c r="H37" s="79" t="s">
        <v>50</v>
      </c>
      <c r="I37" s="201"/>
      <c r="J37" s="94" t="s">
        <v>45</v>
      </c>
      <c r="K37" s="94"/>
      <c r="M37" s="94"/>
    </row>
    <row r="38" spans="2:19" x14ac:dyDescent="0.4">
      <c r="C38" s="143">
        <f>'資金繰り予定表 (製造原価あり)'!$D$5</f>
        <v>44986</v>
      </c>
      <c r="D38" s="150" t="s">
        <v>48</v>
      </c>
      <c r="E38" s="199"/>
      <c r="F38" s="151" t="s">
        <v>45</v>
      </c>
      <c r="H38" s="79" t="s">
        <v>50</v>
      </c>
      <c r="I38" s="201"/>
      <c r="J38" s="94" t="s">
        <v>45</v>
      </c>
      <c r="K38" s="94"/>
      <c r="M38" s="94"/>
    </row>
    <row r="39" spans="2:19" x14ac:dyDescent="0.4">
      <c r="C39" s="143">
        <f>'資金繰り予定表 (製造原価あり)'!$E$5</f>
        <v>45017</v>
      </c>
      <c r="D39" s="150" t="s">
        <v>48</v>
      </c>
      <c r="E39" s="199"/>
      <c r="F39" s="151" t="s">
        <v>45</v>
      </c>
      <c r="H39" s="79" t="s">
        <v>50</v>
      </c>
      <c r="I39" s="201"/>
      <c r="J39" s="94" t="s">
        <v>45</v>
      </c>
      <c r="K39" s="94"/>
      <c r="M39" s="94"/>
    </row>
    <row r="40" spans="2:19" x14ac:dyDescent="0.4">
      <c r="C40" s="143">
        <f>'資金繰り予定表 (製造原価あり)'!$F$5</f>
        <v>45047</v>
      </c>
      <c r="D40" s="150" t="s">
        <v>48</v>
      </c>
      <c r="E40" s="199"/>
      <c r="F40" s="151" t="s">
        <v>45</v>
      </c>
      <c r="H40" s="79" t="s">
        <v>50</v>
      </c>
      <c r="I40" s="201"/>
      <c r="J40" s="94" t="s">
        <v>45</v>
      </c>
      <c r="K40" s="94"/>
      <c r="M40" s="94"/>
    </row>
    <row r="41" spans="2:19" x14ac:dyDescent="0.4">
      <c r="C41" s="143">
        <f>'資金繰り予定表 (製造原価あり)'!$G$5</f>
        <v>45078</v>
      </c>
      <c r="D41" s="150" t="s">
        <v>48</v>
      </c>
      <c r="E41" s="199"/>
      <c r="F41" s="151" t="s">
        <v>45</v>
      </c>
      <c r="H41" s="79" t="s">
        <v>50</v>
      </c>
      <c r="I41" s="201"/>
      <c r="J41" s="94" t="s">
        <v>45</v>
      </c>
      <c r="K41" s="94"/>
      <c r="M41" s="94"/>
    </row>
    <row r="42" spans="2:19" x14ac:dyDescent="0.4">
      <c r="C42" s="143">
        <f>'資金繰り予定表 (製造原価あり)'!$H$5</f>
        <v>45108</v>
      </c>
      <c r="D42" s="150" t="s">
        <v>48</v>
      </c>
      <c r="E42" s="199"/>
      <c r="F42" s="151" t="s">
        <v>45</v>
      </c>
      <c r="H42" s="79" t="s">
        <v>50</v>
      </c>
      <c r="I42" s="201"/>
      <c r="J42" s="94" t="s">
        <v>45</v>
      </c>
      <c r="K42" s="94"/>
      <c r="M42" s="94"/>
    </row>
    <row r="43" spans="2:19" x14ac:dyDescent="0.4">
      <c r="C43" s="143">
        <f>'資金繰り予定表 (製造原価あり)'!$I$5</f>
        <v>45139</v>
      </c>
      <c r="D43" s="150" t="s">
        <v>48</v>
      </c>
      <c r="E43" s="199"/>
      <c r="F43" s="151" t="s">
        <v>45</v>
      </c>
      <c r="H43" s="79" t="s">
        <v>50</v>
      </c>
      <c r="I43" s="201"/>
      <c r="J43" s="94" t="s">
        <v>45</v>
      </c>
      <c r="K43" s="94"/>
      <c r="M43" s="94"/>
    </row>
    <row r="44" spans="2:19" x14ac:dyDescent="0.4">
      <c r="C44" s="143">
        <f>'資金繰り予定表 (製造原価あり)'!$J$5</f>
        <v>45170</v>
      </c>
      <c r="D44" s="150" t="s">
        <v>48</v>
      </c>
      <c r="E44" s="199"/>
      <c r="F44" s="151" t="s">
        <v>45</v>
      </c>
      <c r="G44" s="46"/>
      <c r="H44" s="79" t="s">
        <v>50</v>
      </c>
      <c r="I44" s="201"/>
      <c r="J44" s="94" t="s">
        <v>45</v>
      </c>
      <c r="L44" s="113"/>
      <c r="M44" s="158"/>
      <c r="N44" s="114"/>
      <c r="O44" s="46"/>
      <c r="P44" s="46"/>
      <c r="Q44" s="46"/>
      <c r="R44" s="114"/>
      <c r="S44" s="46"/>
    </row>
    <row r="45" spans="2:19" x14ac:dyDescent="0.4">
      <c r="C45" s="143"/>
      <c r="E45" s="151"/>
      <c r="F45" s="151"/>
      <c r="G45" s="46"/>
      <c r="H45" s="46"/>
      <c r="I45" s="46"/>
      <c r="L45" s="113"/>
      <c r="M45" s="158"/>
      <c r="N45" s="114"/>
      <c r="O45" s="46"/>
      <c r="P45" s="46"/>
      <c r="Q45" s="46"/>
      <c r="R45" s="114"/>
      <c r="S45" s="46"/>
    </row>
    <row r="46" spans="2:19" ht="18.75" customHeight="1" x14ac:dyDescent="0.4">
      <c r="B46" t="s">
        <v>219</v>
      </c>
      <c r="C46" s="149" t="s">
        <v>172</v>
      </c>
      <c r="D46" s="139">
        <f>'資金繰り予定表 (製造原価あり)'!$E$5</f>
        <v>45017</v>
      </c>
      <c r="E46" s="139"/>
      <c r="F46" s="151"/>
      <c r="G46" s="46"/>
      <c r="H46" s="118" t="s">
        <v>176</v>
      </c>
      <c r="I46" s="140">
        <f>'資金繰り予定表 (製造原価あり)'!$D$5</f>
        <v>44986</v>
      </c>
      <c r="L46" s="118" t="s">
        <v>176</v>
      </c>
      <c r="M46" s="141">
        <f>'資金繰り予定表 (製造原価あり)'!$C$5</f>
        <v>44958</v>
      </c>
      <c r="N46" s="114"/>
      <c r="O46" s="46"/>
      <c r="P46" s="46"/>
      <c r="Q46" s="46"/>
      <c r="R46" s="114"/>
      <c r="S46" s="46"/>
    </row>
    <row r="47" spans="2:19" ht="18.75" customHeight="1" x14ac:dyDescent="0.4">
      <c r="B47" s="184" t="s">
        <v>239</v>
      </c>
      <c r="C47" s="162"/>
      <c r="D47" s="150" t="s">
        <v>78</v>
      </c>
      <c r="E47" s="199"/>
      <c r="F47" s="148" t="s">
        <v>45</v>
      </c>
      <c r="H47" s="150" t="s">
        <v>78</v>
      </c>
      <c r="I47" s="199"/>
      <c r="J47" t="s">
        <v>45</v>
      </c>
      <c r="L47" s="150" t="s">
        <v>78</v>
      </c>
      <c r="M47" s="199"/>
      <c r="N47" t="s">
        <v>45</v>
      </c>
    </row>
    <row r="48" spans="2:19" ht="18.75" customHeight="1" x14ac:dyDescent="0.4">
      <c r="B48" s="191" t="s">
        <v>237</v>
      </c>
      <c r="C48" s="163"/>
      <c r="D48" s="182" t="s">
        <v>236</v>
      </c>
      <c r="E48" s="137">
        <f>E49-(E47+E50+E51+E55)+E52-(I5+I39+E39+E53+E54)+E56</f>
        <v>0</v>
      </c>
      <c r="F48" s="148" t="s">
        <v>45</v>
      </c>
      <c r="H48" s="218" t="s">
        <v>236</v>
      </c>
      <c r="I48" s="100">
        <f>I49-(I47+I50+I51+I55)+I52-(I4+I38+E38+I53+I54)+I56</f>
        <v>0</v>
      </c>
      <c r="J48" t="s">
        <v>45</v>
      </c>
      <c r="L48" s="182" t="s">
        <v>236</v>
      </c>
      <c r="M48" s="100">
        <f>M49-(M47+M50+M51+M55)+M52-(I3+I37+E37+M53+M54)+M56</f>
        <v>0</v>
      </c>
      <c r="N48" t="s">
        <v>45</v>
      </c>
    </row>
    <row r="49" spans="2:15" x14ac:dyDescent="0.4">
      <c r="B49" s="192" t="s">
        <v>230</v>
      </c>
      <c r="C49" s="220" t="s">
        <v>49</v>
      </c>
      <c r="D49" s="164"/>
      <c r="E49" s="199"/>
      <c r="F49" s="151" t="s">
        <v>228</v>
      </c>
      <c r="G49" s="221" t="s">
        <v>49</v>
      </c>
      <c r="H49" s="165"/>
      <c r="I49" s="199"/>
      <c r="J49" t="s">
        <v>45</v>
      </c>
      <c r="K49" s="221" t="s">
        <v>49</v>
      </c>
      <c r="L49" s="164"/>
      <c r="M49" s="199"/>
      <c r="N49" t="s">
        <v>45</v>
      </c>
    </row>
    <row r="50" spans="2:15" x14ac:dyDescent="0.4">
      <c r="B50" s="192" t="s">
        <v>213</v>
      </c>
      <c r="C50" s="166"/>
      <c r="D50" s="167" t="s">
        <v>183</v>
      </c>
      <c r="E50" s="199"/>
      <c r="F50" s="151" t="s">
        <v>45</v>
      </c>
      <c r="G50" s="168"/>
      <c r="H50" s="167" t="s">
        <v>183</v>
      </c>
      <c r="I50" s="199"/>
      <c r="J50" t="s">
        <v>45</v>
      </c>
      <c r="K50" s="169"/>
      <c r="L50" s="167" t="s">
        <v>183</v>
      </c>
      <c r="M50" s="199"/>
      <c r="N50" t="s">
        <v>45</v>
      </c>
    </row>
    <row r="51" spans="2:15" x14ac:dyDescent="0.4">
      <c r="B51" s="192" t="s">
        <v>212</v>
      </c>
      <c r="C51" s="170"/>
      <c r="D51" s="172" t="s">
        <v>182</v>
      </c>
      <c r="E51" s="199"/>
      <c r="F51" s="151" t="s">
        <v>45</v>
      </c>
      <c r="G51" s="171"/>
      <c r="H51" s="172" t="s">
        <v>182</v>
      </c>
      <c r="I51" s="199"/>
      <c r="J51" t="s">
        <v>45</v>
      </c>
      <c r="K51" s="173"/>
      <c r="L51" s="172" t="s">
        <v>182</v>
      </c>
      <c r="M51" s="199"/>
      <c r="N51" t="s">
        <v>45</v>
      </c>
    </row>
    <row r="52" spans="2:15" x14ac:dyDescent="0.4">
      <c r="B52" s="192" t="s">
        <v>229</v>
      </c>
      <c r="C52" s="220" t="s">
        <v>184</v>
      </c>
      <c r="D52" s="174"/>
      <c r="E52" s="199"/>
      <c r="F52" s="151" t="s">
        <v>45</v>
      </c>
      <c r="G52" s="221" t="s">
        <v>184</v>
      </c>
      <c r="H52" s="165"/>
      <c r="I52" s="199"/>
      <c r="J52" t="s">
        <v>45</v>
      </c>
      <c r="K52" s="221" t="s">
        <v>184</v>
      </c>
      <c r="L52" s="164"/>
      <c r="M52" s="199"/>
      <c r="N52" t="s">
        <v>45</v>
      </c>
    </row>
    <row r="53" spans="2:15" x14ac:dyDescent="0.4">
      <c r="B53" s="192" t="s">
        <v>211</v>
      </c>
      <c r="C53" s="175"/>
      <c r="D53" s="167" t="s">
        <v>183</v>
      </c>
      <c r="E53" s="199"/>
      <c r="F53" s="151" t="s">
        <v>45</v>
      </c>
      <c r="G53" s="168"/>
      <c r="H53" s="167" t="s">
        <v>183</v>
      </c>
      <c r="I53" s="199"/>
      <c r="J53" t="s">
        <v>45</v>
      </c>
      <c r="K53" s="169"/>
      <c r="L53" s="167" t="s">
        <v>183</v>
      </c>
      <c r="M53" s="199"/>
      <c r="N53" t="s">
        <v>45</v>
      </c>
    </row>
    <row r="54" spans="2:15" x14ac:dyDescent="0.4">
      <c r="B54" s="192" t="s">
        <v>210</v>
      </c>
      <c r="C54" s="176"/>
      <c r="D54" s="172" t="s">
        <v>182</v>
      </c>
      <c r="E54" s="199"/>
      <c r="F54" s="151" t="s">
        <v>45</v>
      </c>
      <c r="G54" s="171"/>
      <c r="H54" s="172" t="s">
        <v>182</v>
      </c>
      <c r="I54" s="199"/>
      <c r="J54" t="s">
        <v>45</v>
      </c>
      <c r="K54" s="173"/>
      <c r="L54" s="172" t="s">
        <v>182</v>
      </c>
      <c r="M54" s="199"/>
      <c r="N54" t="s">
        <v>45</v>
      </c>
    </row>
    <row r="55" spans="2:15" x14ac:dyDescent="0.4">
      <c r="B55" s="184" t="s">
        <v>223</v>
      </c>
      <c r="C55" s="212" t="s">
        <v>225</v>
      </c>
      <c r="D55" s="209"/>
      <c r="E55" s="208"/>
      <c r="F55" s="148" t="s">
        <v>45</v>
      </c>
      <c r="G55" s="242" t="s">
        <v>225</v>
      </c>
      <c r="H55" s="243"/>
      <c r="I55" s="208"/>
      <c r="J55" t="s">
        <v>45</v>
      </c>
      <c r="K55" s="242" t="s">
        <v>227</v>
      </c>
      <c r="L55" s="243"/>
      <c r="M55" s="208"/>
      <c r="N55" t="s">
        <v>45</v>
      </c>
    </row>
    <row r="56" spans="2:15" ht="25.5" x14ac:dyDescent="0.4">
      <c r="B56" s="184" t="s">
        <v>224</v>
      </c>
      <c r="C56" s="210"/>
      <c r="D56" s="211" t="s">
        <v>222</v>
      </c>
      <c r="E56" s="199"/>
      <c r="F56" s="148" t="s">
        <v>45</v>
      </c>
      <c r="G56" s="219"/>
      <c r="H56" s="213" t="s">
        <v>226</v>
      </c>
      <c r="I56" s="199"/>
      <c r="J56" t="s">
        <v>228</v>
      </c>
      <c r="K56" s="219"/>
      <c r="L56" s="213" t="s">
        <v>226</v>
      </c>
      <c r="M56" s="199"/>
      <c r="N56" t="s">
        <v>45</v>
      </c>
    </row>
    <row r="57" spans="2:15" x14ac:dyDescent="0.4">
      <c r="B57" s="185" t="s">
        <v>199</v>
      </c>
      <c r="C57" s="153"/>
      <c r="D57" s="150" t="s">
        <v>173</v>
      </c>
      <c r="E57" s="199"/>
      <c r="F57" s="148" t="s">
        <v>45</v>
      </c>
      <c r="H57" s="177" t="s">
        <v>173</v>
      </c>
      <c r="I57" s="199"/>
      <c r="J57" t="s">
        <v>45</v>
      </c>
      <c r="L57" s="177" t="s">
        <v>173</v>
      </c>
      <c r="M57" s="199"/>
      <c r="N57" t="s">
        <v>45</v>
      </c>
    </row>
    <row r="58" spans="2:15" ht="18.75" customHeight="1" x14ac:dyDescent="0.4">
      <c r="B58" s="86" t="s">
        <v>165</v>
      </c>
      <c r="C58" s="117"/>
      <c r="E58" s="151"/>
      <c r="H58" s="187"/>
      <c r="I58" s="120"/>
      <c r="L58" s="187"/>
      <c r="M58" s="120"/>
    </row>
    <row r="59" spans="2:15" x14ac:dyDescent="0.4">
      <c r="B59" t="s">
        <v>220</v>
      </c>
      <c r="C59" s="153"/>
    </row>
    <row r="60" spans="2:15" x14ac:dyDescent="0.4">
      <c r="B60" s="185" t="s">
        <v>200</v>
      </c>
      <c r="C60" s="153"/>
      <c r="D60" s="150" t="s">
        <v>174</v>
      </c>
      <c r="E60" s="199"/>
      <c r="F60" s="148" t="s">
        <v>45</v>
      </c>
      <c r="H60" s="150" t="s">
        <v>174</v>
      </c>
      <c r="I60" s="199"/>
      <c r="J60" t="s">
        <v>45</v>
      </c>
      <c r="L60" s="150" t="s">
        <v>174</v>
      </c>
      <c r="M60" s="199"/>
      <c r="N60" t="s">
        <v>45</v>
      </c>
    </row>
    <row r="61" spans="2:15" x14ac:dyDescent="0.4">
      <c r="B61" s="86" t="s">
        <v>163</v>
      </c>
      <c r="C61" s="154"/>
      <c r="E61" s="151"/>
      <c r="H61" s="112"/>
      <c r="I61" s="46"/>
      <c r="N61" s="112"/>
      <c r="O61" s="46"/>
    </row>
    <row r="62" spans="2:15" x14ac:dyDescent="0.4">
      <c r="B62" t="s">
        <v>221</v>
      </c>
      <c r="E62" s="188"/>
    </row>
    <row r="63" spans="2:15" x14ac:dyDescent="0.4">
      <c r="B63" s="185" t="s">
        <v>201</v>
      </c>
      <c r="C63" s="139">
        <f>'資金繰り予定表 (製造原価あり)'!D5</f>
        <v>44986</v>
      </c>
      <c r="D63" s="148" t="s">
        <v>178</v>
      </c>
      <c r="E63" s="199"/>
      <c r="F63" s="148" t="s">
        <v>45</v>
      </c>
    </row>
  </sheetData>
  <mergeCells count="5">
    <mergeCell ref="L4:L10"/>
    <mergeCell ref="F12:F17"/>
    <mergeCell ref="F19:F24"/>
    <mergeCell ref="G55:H55"/>
    <mergeCell ref="K55:L55"/>
  </mergeCells>
  <phoneticPr fontId="3"/>
  <printOptions horizontalCentered="1" verticalCentered="1"/>
  <pageMargins left="0.51181102362204722" right="0.51181102362204722" top="0.55118110236220474" bottom="0.55118110236220474" header="0.31496062992125984" footer="0.31496062992125984"/>
  <pageSetup paperSize="8" scale="64"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A78849-F978-4917-942A-EFCF879D381B}">
  <sheetPr>
    <pageSetUpPr fitToPage="1"/>
  </sheetPr>
  <dimension ref="B1:S36"/>
  <sheetViews>
    <sheetView view="pageBreakPreview" topLeftCell="A13" zoomScaleNormal="100" zoomScaleSheetLayoutView="100" workbookViewId="0">
      <selection activeCell="C6" sqref="C6"/>
    </sheetView>
  </sheetViews>
  <sheetFormatPr defaultRowHeight="18.75" x14ac:dyDescent="0.4"/>
  <cols>
    <col min="1" max="1" width="5.25" customWidth="1"/>
    <col min="2" max="2" width="17.625" style="49" customWidth="1"/>
    <col min="3" max="4" width="11.125" style="49" customWidth="1"/>
    <col min="5" max="5" width="11.125" customWidth="1"/>
    <col min="6" max="9" width="9.375" bestFit="1" customWidth="1"/>
    <col min="11" max="11" width="6.875" customWidth="1"/>
    <col min="12" max="12" width="17.625" style="49" customWidth="1"/>
    <col min="13" max="13" width="9.375" bestFit="1" customWidth="1"/>
    <col min="14" max="14" width="10" bestFit="1" customWidth="1"/>
    <col min="15" max="18" width="9.375" bestFit="1" customWidth="1"/>
  </cols>
  <sheetData>
    <row r="1" spans="2:19" ht="30.75" thickBot="1" x14ac:dyDescent="0.45">
      <c r="E1" s="224" t="s">
        <v>96</v>
      </c>
      <c r="F1" s="224"/>
      <c r="G1" s="224"/>
      <c r="H1" s="224"/>
      <c r="I1" s="224"/>
      <c r="J1" s="224"/>
      <c r="K1" s="224"/>
      <c r="L1" s="224"/>
      <c r="M1" s="224"/>
      <c r="N1" s="224"/>
      <c r="O1" s="224"/>
      <c r="P1" s="224"/>
      <c r="Q1" s="50" t="s">
        <v>72</v>
      </c>
      <c r="R1" s="51">
        <v>0.6</v>
      </c>
    </row>
    <row r="2" spans="2:19" s="53" customFormat="1" x14ac:dyDescent="0.4">
      <c r="B2" s="52"/>
      <c r="C2" s="52"/>
      <c r="D2" s="52"/>
      <c r="Q2" s="52"/>
      <c r="R2" s="54"/>
    </row>
    <row r="3" spans="2:19" x14ac:dyDescent="0.4">
      <c r="B3"/>
      <c r="C3"/>
      <c r="D3"/>
      <c r="E3" s="55"/>
      <c r="F3" s="55"/>
      <c r="G3" s="56"/>
      <c r="H3" s="55"/>
      <c r="I3" s="55"/>
      <c r="J3" s="55"/>
      <c r="K3" s="55"/>
      <c r="L3" s="55"/>
      <c r="M3" s="55"/>
      <c r="N3" s="55"/>
      <c r="O3" s="56"/>
      <c r="S3" s="49"/>
    </row>
    <row r="4" spans="2:19" s="59" customFormat="1" ht="22.5" customHeight="1" x14ac:dyDescent="0.4">
      <c r="B4" s="225" t="s">
        <v>73</v>
      </c>
      <c r="C4" s="225"/>
      <c r="D4" s="225"/>
      <c r="E4" s="226"/>
      <c r="F4" s="226"/>
      <c r="G4" s="226"/>
      <c r="H4" s="57"/>
      <c r="I4" s="58"/>
      <c r="J4" s="58"/>
      <c r="K4" s="58"/>
      <c r="L4" s="227" t="s">
        <v>74</v>
      </c>
      <c r="M4" s="227"/>
      <c r="N4" s="227"/>
      <c r="O4" s="227"/>
    </row>
    <row r="5" spans="2:19" s="59" customFormat="1" ht="22.5" customHeight="1" x14ac:dyDescent="0.4">
      <c r="B5" s="60"/>
      <c r="C5" s="61">
        <f ca="1">D5-30</f>
        <v>45075.48655173611</v>
      </c>
      <c r="D5" s="61">
        <f ca="1">E5-30</f>
        <v>45105.48655173611</v>
      </c>
      <c r="E5" s="61">
        <f ca="1">NOW()+30</f>
        <v>45135.48655173611</v>
      </c>
      <c r="F5" s="61">
        <f ca="1">E5+30</f>
        <v>45165.48655173611</v>
      </c>
      <c r="G5" s="61">
        <f t="shared" ref="G5:J5" ca="1" si="0">F5+30</f>
        <v>45195.48655173611</v>
      </c>
      <c r="H5" s="61">
        <f t="shared" ca="1" si="0"/>
        <v>45225.48655173611</v>
      </c>
      <c r="I5" s="61">
        <f t="shared" ca="1" si="0"/>
        <v>45255.48655173611</v>
      </c>
      <c r="J5" s="84">
        <f t="shared" ca="1" si="0"/>
        <v>45285.48655173611</v>
      </c>
      <c r="L5" s="62"/>
      <c r="M5" s="61">
        <f t="shared" ref="M5:P5" ca="1" si="1">E5</f>
        <v>45135.48655173611</v>
      </c>
      <c r="N5" s="61">
        <f t="shared" ca="1" si="1"/>
        <v>45165.48655173611</v>
      </c>
      <c r="O5" s="61">
        <f t="shared" ca="1" si="1"/>
        <v>45195.48655173611</v>
      </c>
      <c r="P5" s="61">
        <f t="shared" ca="1" si="1"/>
        <v>45225.48655173611</v>
      </c>
      <c r="Q5" s="61">
        <f ca="1">I5</f>
        <v>45255.48655173611</v>
      </c>
      <c r="R5" s="84">
        <f ca="1">J5</f>
        <v>45285.48655173611</v>
      </c>
    </row>
    <row r="6" spans="2:19" s="59" customFormat="1" ht="22.5" customHeight="1" x14ac:dyDescent="0.4">
      <c r="B6" s="63" t="s">
        <v>75</v>
      </c>
      <c r="C6" s="64" t="e">
        <f>#REF!</f>
        <v>#REF!</v>
      </c>
      <c r="D6" s="64" t="e">
        <f t="shared" ref="D6:J6" si="2">C28</f>
        <v>#REF!</v>
      </c>
      <c r="E6" s="64" t="e">
        <f t="shared" si="2"/>
        <v>#REF!</v>
      </c>
      <c r="F6" s="64" t="e">
        <f t="shared" si="2"/>
        <v>#REF!</v>
      </c>
      <c r="G6" s="64" t="e">
        <f t="shared" si="2"/>
        <v>#REF!</v>
      </c>
      <c r="H6" s="64" t="e">
        <f t="shared" si="2"/>
        <v>#REF!</v>
      </c>
      <c r="I6" s="64" t="e">
        <f t="shared" si="2"/>
        <v>#REF!</v>
      </c>
      <c r="J6" s="64" t="e">
        <f t="shared" si="2"/>
        <v>#REF!</v>
      </c>
      <c r="K6" s="58"/>
      <c r="L6" s="65" t="str">
        <f>B6</f>
        <v>月初現金残高</v>
      </c>
      <c r="M6" s="64" t="e">
        <f>E6</f>
        <v>#REF!</v>
      </c>
      <c r="N6" s="64" t="e">
        <f>M28</f>
        <v>#REF!</v>
      </c>
      <c r="O6" s="64" t="e">
        <f>N28</f>
        <v>#REF!</v>
      </c>
      <c r="P6" s="66" t="e">
        <f>O28</f>
        <v>#REF!</v>
      </c>
      <c r="Q6" s="66" t="e">
        <f>P28</f>
        <v>#REF!</v>
      </c>
      <c r="R6" s="66" t="e">
        <f>Q28</f>
        <v>#REF!</v>
      </c>
    </row>
    <row r="7" spans="2:19" s="59" customFormat="1" ht="22.5" customHeight="1" x14ac:dyDescent="0.4">
      <c r="B7" s="67"/>
      <c r="C7" s="67"/>
      <c r="D7" s="67"/>
      <c r="E7" s="58"/>
      <c r="F7" s="58"/>
      <c r="G7" s="58"/>
      <c r="H7" s="57"/>
      <c r="I7" s="58"/>
      <c r="J7" s="58"/>
      <c r="K7" s="58"/>
      <c r="L7" s="68"/>
      <c r="M7" s="58"/>
      <c r="N7" s="58"/>
      <c r="O7" s="58"/>
    </row>
    <row r="8" spans="2:19" s="59" customFormat="1" ht="22.5" customHeight="1" x14ac:dyDescent="0.4">
      <c r="B8" s="62"/>
      <c r="C8" s="61">
        <f ca="1">D8-30</f>
        <v>45075.48655173611</v>
      </c>
      <c r="D8" s="61">
        <f ca="1">E8-30</f>
        <v>45105.48655173611</v>
      </c>
      <c r="E8" s="61">
        <f ca="1">NOW()+30</f>
        <v>45135.48655173611</v>
      </c>
      <c r="F8" s="61">
        <f ca="1">E8+30</f>
        <v>45165.48655173611</v>
      </c>
      <c r="G8" s="61">
        <f t="shared" ref="G8:J8" ca="1" si="3">F8+30</f>
        <v>45195.48655173611</v>
      </c>
      <c r="H8" s="61">
        <f t="shared" ca="1" si="3"/>
        <v>45225.48655173611</v>
      </c>
      <c r="I8" s="61">
        <f t="shared" ca="1" si="3"/>
        <v>45255.48655173611</v>
      </c>
      <c r="J8" s="84">
        <f t="shared" ca="1" si="3"/>
        <v>45285.48655173611</v>
      </c>
      <c r="L8" s="62"/>
      <c r="M8" s="61">
        <f t="shared" ref="M8:P8" ca="1" si="4">E8</f>
        <v>45135.48655173611</v>
      </c>
      <c r="N8" s="61">
        <f t="shared" ca="1" si="4"/>
        <v>45165.48655173611</v>
      </c>
      <c r="O8" s="61">
        <f t="shared" ca="1" si="4"/>
        <v>45195.48655173611</v>
      </c>
      <c r="P8" s="61">
        <f t="shared" ca="1" si="4"/>
        <v>45225.48655173611</v>
      </c>
      <c r="Q8" s="61">
        <f ca="1">I8</f>
        <v>45255.48655173611</v>
      </c>
      <c r="R8" s="84">
        <f ca="1">J8</f>
        <v>45285.48655173611</v>
      </c>
    </row>
    <row r="9" spans="2:19" s="59" customFormat="1" ht="22.5" customHeight="1" x14ac:dyDescent="0.4">
      <c r="B9" s="63" t="s">
        <v>46</v>
      </c>
      <c r="C9" s="103" t="e">
        <f>#REF!</f>
        <v>#REF!</v>
      </c>
      <c r="D9" s="103" t="e">
        <f>#REF!</f>
        <v>#REF!</v>
      </c>
      <c r="E9" s="69" t="e">
        <f>#REF!</f>
        <v>#REF!</v>
      </c>
      <c r="F9" s="69" t="e">
        <f>#REF!</f>
        <v>#REF!</v>
      </c>
      <c r="G9" s="69" t="e">
        <f>#REF!</f>
        <v>#REF!</v>
      </c>
      <c r="H9" s="69" t="e">
        <f>#REF!</f>
        <v>#REF!</v>
      </c>
      <c r="I9" s="69" t="e">
        <f>#REF!</f>
        <v>#REF!</v>
      </c>
      <c r="J9" s="69" t="e">
        <f>#REF!</f>
        <v>#REF!</v>
      </c>
      <c r="L9" s="63" t="str">
        <f>B9</f>
        <v>売上</v>
      </c>
      <c r="M9" s="69" t="e">
        <f t="shared" ref="M9:R9" si="5">E9*$R$1</f>
        <v>#REF!</v>
      </c>
      <c r="N9" s="69" t="e">
        <f>F9*$R$1</f>
        <v>#REF!</v>
      </c>
      <c r="O9" s="69" t="e">
        <f t="shared" si="5"/>
        <v>#REF!</v>
      </c>
      <c r="P9" s="69" t="e">
        <f t="shared" si="5"/>
        <v>#REF!</v>
      </c>
      <c r="Q9" s="69" t="e">
        <f t="shared" si="5"/>
        <v>#REF!</v>
      </c>
      <c r="R9" s="69" t="e">
        <f t="shared" si="5"/>
        <v>#REF!</v>
      </c>
    </row>
    <row r="10" spans="2:19" s="59" customFormat="1" ht="22.5" customHeight="1" x14ac:dyDescent="0.4">
      <c r="B10" s="63" t="s">
        <v>149</v>
      </c>
      <c r="C10" s="103"/>
      <c r="D10" s="103"/>
      <c r="E10" s="69"/>
      <c r="F10" s="69"/>
      <c r="G10" s="69"/>
      <c r="H10" s="69"/>
      <c r="I10" s="69"/>
      <c r="J10" s="69"/>
      <c r="L10" s="63" t="str">
        <f>B10</f>
        <v>その他収入</v>
      </c>
      <c r="M10" s="69">
        <f>C10</f>
        <v>0</v>
      </c>
      <c r="N10" s="69">
        <f t="shared" ref="N10:R10" si="6">D10</f>
        <v>0</v>
      </c>
      <c r="O10" s="69">
        <f t="shared" si="6"/>
        <v>0</v>
      </c>
      <c r="P10" s="69">
        <f t="shared" si="6"/>
        <v>0</v>
      </c>
      <c r="Q10" s="69">
        <f t="shared" si="6"/>
        <v>0</v>
      </c>
      <c r="R10" s="69">
        <f t="shared" si="6"/>
        <v>0</v>
      </c>
    </row>
    <row r="11" spans="2:19" s="59" customFormat="1" ht="22.5" customHeight="1" x14ac:dyDescent="0.4">
      <c r="B11" s="70" t="s">
        <v>150</v>
      </c>
      <c r="C11" s="104" t="e">
        <f>C10+#REF!</f>
        <v>#REF!</v>
      </c>
      <c r="D11" s="104" t="e">
        <f>D10+#REF!</f>
        <v>#REF!</v>
      </c>
      <c r="E11" s="71" t="e">
        <f>E10+#REF!+E9*#REF!</f>
        <v>#REF!</v>
      </c>
      <c r="F11" s="71" t="e">
        <f>F10+#REF!+E9*#REF!+F9*#REF!</f>
        <v>#REF!</v>
      </c>
      <c r="G11" s="71" t="e">
        <f>G10+#REF!+E9*#REF!+F9*#REF!+G9*#REF!</f>
        <v>#REF!</v>
      </c>
      <c r="H11" s="71" t="e">
        <f>H10+#REF!+E9*#REF!+F9*#REF!+G9*#REF!+H9*#REF!</f>
        <v>#REF!</v>
      </c>
      <c r="I11" s="71" t="e">
        <f>I10+#REF!+E9*#REF!+F9*#REF!+G9*#REF!+H9*#REF!+I9*#REF!</f>
        <v>#REF!</v>
      </c>
      <c r="J11" s="71" t="e">
        <f>J10+#REF!+E9*#REF!+F9*#REF!+G9*#REF!+H9*#REF!+I9*#REF!+J9*#REF!</f>
        <v>#REF!</v>
      </c>
      <c r="L11" s="70" t="str">
        <f>B11</f>
        <v>経常収入</v>
      </c>
      <c r="M11" s="71" t="e">
        <f>M10+#REF!+$R$1*(E9*#REF!)</f>
        <v>#REF!</v>
      </c>
      <c r="N11" s="71" t="e">
        <f>N10+#REF!+$R$1*(E9*#REF!+F9*#REF!)</f>
        <v>#REF!</v>
      </c>
      <c r="O11" s="71" t="e">
        <f>O10+#REF!+$R$1*(E9*#REF!+F9*#REF!+G9*#REF!)</f>
        <v>#REF!</v>
      </c>
      <c r="P11" s="71" t="e">
        <f>P10+#REF!+$R$1*(E9*#REF!+F9*#REF!+G9*#REF!+H9*#REF!)</f>
        <v>#REF!</v>
      </c>
      <c r="Q11" s="71" t="e">
        <f>Q10+#REF!+$R$1*(E9*#REF!+F9*#REF!+G9*#REF!+H9*#REF!+I9*#REF!)</f>
        <v>#REF!</v>
      </c>
      <c r="R11" s="71" t="e">
        <f>R10+#REF!+$R$1*(E9*#REF!+F9*#REF!+G9*#REF!+H9*#REF!+I9*#REF!+J9*#REF!)</f>
        <v>#REF!</v>
      </c>
    </row>
    <row r="12" spans="2:19" s="59" customFormat="1" ht="22.5" customHeight="1" x14ac:dyDescent="0.4">
      <c r="B12" s="67"/>
      <c r="C12" s="67"/>
      <c r="D12" s="67"/>
      <c r="E12" s="72"/>
      <c r="F12" s="72"/>
      <c r="G12" s="72"/>
      <c r="H12" s="72"/>
      <c r="I12" s="72"/>
      <c r="J12" s="72"/>
      <c r="L12" s="67"/>
    </row>
    <row r="13" spans="2:19" s="59" customFormat="1" ht="22.5" customHeight="1" x14ac:dyDescent="0.4">
      <c r="B13" s="62"/>
      <c r="C13" s="61">
        <f ca="1">D13-30</f>
        <v>45075.48655173611</v>
      </c>
      <c r="D13" s="61">
        <f ca="1">E13-30</f>
        <v>45105.48655173611</v>
      </c>
      <c r="E13" s="61">
        <f t="shared" ref="E13:J13" ca="1" si="7">E8</f>
        <v>45135.48655173611</v>
      </c>
      <c r="F13" s="61">
        <f t="shared" ca="1" si="7"/>
        <v>45165.48655173611</v>
      </c>
      <c r="G13" s="61">
        <f t="shared" ca="1" si="7"/>
        <v>45195.48655173611</v>
      </c>
      <c r="H13" s="61">
        <f t="shared" ca="1" si="7"/>
        <v>45225.48655173611</v>
      </c>
      <c r="I13" s="61">
        <f t="shared" ca="1" si="7"/>
        <v>45255.48655173611</v>
      </c>
      <c r="J13" s="84">
        <f t="shared" ca="1" si="7"/>
        <v>45285.48655173611</v>
      </c>
      <c r="L13" s="62"/>
      <c r="M13" s="61">
        <f t="shared" ref="M13:P13" ca="1" si="8">E13</f>
        <v>45135.48655173611</v>
      </c>
      <c r="N13" s="61">
        <f t="shared" ca="1" si="8"/>
        <v>45165.48655173611</v>
      </c>
      <c r="O13" s="61">
        <f t="shared" ca="1" si="8"/>
        <v>45195.48655173611</v>
      </c>
      <c r="P13" s="61">
        <f t="shared" ca="1" si="8"/>
        <v>45225.48655173611</v>
      </c>
      <c r="Q13" s="61">
        <f ca="1">I13</f>
        <v>45255.48655173611</v>
      </c>
      <c r="R13" s="84">
        <f ca="1">J13</f>
        <v>45285.48655173611</v>
      </c>
    </row>
    <row r="14" spans="2:19" s="59" customFormat="1" ht="22.5" customHeight="1" x14ac:dyDescent="0.4">
      <c r="B14" s="63" t="s">
        <v>54</v>
      </c>
      <c r="C14" s="103" t="e">
        <f>#REF!</f>
        <v>#REF!</v>
      </c>
      <c r="D14" s="103" t="e">
        <f>#REF!</f>
        <v>#REF!</v>
      </c>
      <c r="E14" s="69" t="e">
        <f>#REF!</f>
        <v>#REF!</v>
      </c>
      <c r="F14" s="69" t="e">
        <f>#REF!</f>
        <v>#REF!</v>
      </c>
      <c r="G14" s="69" t="e">
        <f>#REF!</f>
        <v>#REF!</v>
      </c>
      <c r="H14" s="69" t="e">
        <f>#REF!</f>
        <v>#REF!</v>
      </c>
      <c r="I14" s="69" t="e">
        <f>#REF!</f>
        <v>#REF!</v>
      </c>
      <c r="J14" s="69" t="e">
        <f>#REF!</f>
        <v>#REF!</v>
      </c>
      <c r="L14" s="63" t="str">
        <f>B14</f>
        <v>仕入</v>
      </c>
      <c r="M14" s="73" t="e">
        <f t="shared" ref="M14:R14" si="9">E14*$R$1</f>
        <v>#REF!</v>
      </c>
      <c r="N14" s="73" t="e">
        <f t="shared" si="9"/>
        <v>#REF!</v>
      </c>
      <c r="O14" s="73" t="e">
        <f t="shared" si="9"/>
        <v>#REF!</v>
      </c>
      <c r="P14" s="73" t="e">
        <f t="shared" si="9"/>
        <v>#REF!</v>
      </c>
      <c r="Q14" s="73" t="e">
        <f t="shared" si="9"/>
        <v>#REF!</v>
      </c>
      <c r="R14" s="73" t="e">
        <f t="shared" si="9"/>
        <v>#REF!</v>
      </c>
    </row>
    <row r="15" spans="2:19" s="59" customFormat="1" ht="22.5" customHeight="1" x14ac:dyDescent="0.4">
      <c r="B15" s="70" t="s">
        <v>77</v>
      </c>
      <c r="C15" s="104" t="e">
        <f>#REF!</f>
        <v>#REF!</v>
      </c>
      <c r="D15" s="104" t="e">
        <f>#REF!</f>
        <v>#REF!</v>
      </c>
      <c r="E15" s="71" t="e">
        <f>#REF!+E14*#REF!</f>
        <v>#REF!</v>
      </c>
      <c r="F15" s="71" t="e">
        <f>#REF!+E14*#REF!+F14*#REF!</f>
        <v>#REF!</v>
      </c>
      <c r="G15" s="71" t="e">
        <f>#REF!+E14*#REF!+F14*#REF!+G14*#REF!</f>
        <v>#REF!</v>
      </c>
      <c r="H15" s="71" t="e">
        <f>#REF!+E14*#REF!+F14*#REF!+G14*#REF!+H14*#REF!</f>
        <v>#REF!</v>
      </c>
      <c r="I15" s="71" t="e">
        <f>#REF!+E14*#REF!+F14*#REF!+G14*#REF!+H14*#REF!+I14*#REF!</f>
        <v>#REF!</v>
      </c>
      <c r="J15" s="71" t="e">
        <f>#REF!+E14*#REF!+F14*#REF!+G14*#REF!+H14*#REF!+I14*#REF!+J14*#REF!</f>
        <v>#REF!</v>
      </c>
      <c r="L15" s="70" t="str">
        <f>B15</f>
        <v>仕入支払</v>
      </c>
      <c r="M15" s="74" t="e">
        <f>#REF!+$R$1*(E14*#REF!)</f>
        <v>#REF!</v>
      </c>
      <c r="N15" s="74" t="e">
        <f>#REF!+$R$1*(E14*#REF!+F14*#REF!)</f>
        <v>#REF!</v>
      </c>
      <c r="O15" s="74" t="e">
        <f>#REF!+$R$1*(E14*#REF!+F14*#REF!+G14*#REF!)</f>
        <v>#REF!</v>
      </c>
      <c r="P15" s="74" t="e">
        <f>#REF!+$R$1*(E14*#REF!+F14*#REF!+G14*#REF!+H14*#REF!)</f>
        <v>#REF!</v>
      </c>
      <c r="Q15" s="74" t="e">
        <f>#REF!+$R$1*(E14*#REF!+F14*#REF!+G14*#REF!+H14*#REF!+I14*#REF!)</f>
        <v>#REF!</v>
      </c>
      <c r="R15" s="74" t="e">
        <f>#REF!+$R$1*(E14*#REF!+F14*#REF!+G14*#REF!+H14*#REF!+I14*#REF!+J14*#REF!)</f>
        <v>#REF!</v>
      </c>
    </row>
    <row r="16" spans="2:19" s="59" customFormat="1" ht="22.5" customHeight="1" x14ac:dyDescent="0.4">
      <c r="B16" s="67"/>
      <c r="C16" s="105"/>
      <c r="D16" s="105"/>
      <c r="E16" s="72"/>
      <c r="F16" s="72"/>
      <c r="G16" s="72"/>
      <c r="H16" s="72"/>
      <c r="I16" s="72"/>
      <c r="J16" s="72"/>
      <c r="L16" s="67"/>
      <c r="M16" s="75"/>
      <c r="N16" s="75"/>
      <c r="O16" s="75"/>
      <c r="P16" s="75"/>
      <c r="Q16" s="75"/>
      <c r="R16" s="75"/>
    </row>
    <row r="17" spans="2:18" s="59" customFormat="1" ht="22.5" customHeight="1" x14ac:dyDescent="0.4">
      <c r="B17" s="63" t="s">
        <v>78</v>
      </c>
      <c r="C17" s="103" t="e">
        <f>#REF!</f>
        <v>#REF!</v>
      </c>
      <c r="D17" s="103" t="e">
        <f>#REF!</f>
        <v>#REF!</v>
      </c>
      <c r="E17" s="69" t="e">
        <f>#REF!</f>
        <v>#REF!</v>
      </c>
      <c r="F17" s="69" t="e">
        <f>E17</f>
        <v>#REF!</v>
      </c>
      <c r="G17" s="69" t="e">
        <f>F17</f>
        <v>#REF!</v>
      </c>
      <c r="H17" s="69" t="e">
        <f t="shared" ref="H17:J17" si="10">G17</f>
        <v>#REF!</v>
      </c>
      <c r="I17" s="69" t="e">
        <f t="shared" si="10"/>
        <v>#REF!</v>
      </c>
      <c r="J17" s="69" t="e">
        <f t="shared" si="10"/>
        <v>#REF!</v>
      </c>
      <c r="L17" s="63" t="str">
        <f t="shared" ref="L17:L28" si="11">B17</f>
        <v>人件費</v>
      </c>
      <c r="M17" s="73" t="e">
        <f>E17</f>
        <v>#REF!</v>
      </c>
      <c r="N17" s="73" t="e">
        <f>F17</f>
        <v>#REF!</v>
      </c>
      <c r="O17" s="73" t="e">
        <f t="shared" ref="O17:R20" si="12">G17</f>
        <v>#REF!</v>
      </c>
      <c r="P17" s="73" t="e">
        <f t="shared" si="12"/>
        <v>#REF!</v>
      </c>
      <c r="Q17" s="73" t="e">
        <f t="shared" si="12"/>
        <v>#REF!</v>
      </c>
      <c r="R17" s="73" t="e">
        <f t="shared" si="12"/>
        <v>#REF!</v>
      </c>
    </row>
    <row r="18" spans="2:18" s="59" customFormat="1" ht="22.5" customHeight="1" x14ac:dyDescent="0.4">
      <c r="B18" s="63" t="s">
        <v>79</v>
      </c>
      <c r="C18" s="103" t="e">
        <f>#REF!</f>
        <v>#REF!</v>
      </c>
      <c r="D18" s="103" t="e">
        <f>#REF!</f>
        <v>#REF!</v>
      </c>
      <c r="E18" s="69" t="e">
        <f>#REF!</f>
        <v>#REF!</v>
      </c>
      <c r="F18" s="69" t="e">
        <f t="shared" ref="F18:J20" si="13">E18</f>
        <v>#REF!</v>
      </c>
      <c r="G18" s="69" t="e">
        <f t="shared" si="13"/>
        <v>#REF!</v>
      </c>
      <c r="H18" s="69" t="e">
        <f t="shared" si="13"/>
        <v>#REF!</v>
      </c>
      <c r="I18" s="69" t="e">
        <f t="shared" si="13"/>
        <v>#REF!</v>
      </c>
      <c r="J18" s="69" t="e">
        <f t="shared" si="13"/>
        <v>#REF!</v>
      </c>
      <c r="L18" s="63" t="str">
        <f t="shared" si="11"/>
        <v>営業経費</v>
      </c>
      <c r="M18" s="73" t="e">
        <f>E18</f>
        <v>#REF!</v>
      </c>
      <c r="N18" s="73" t="e">
        <f t="shared" ref="N18:N20" si="14">F18</f>
        <v>#REF!</v>
      </c>
      <c r="O18" s="73" t="e">
        <f t="shared" si="12"/>
        <v>#REF!</v>
      </c>
      <c r="P18" s="73" t="e">
        <f t="shared" si="12"/>
        <v>#REF!</v>
      </c>
      <c r="Q18" s="73" t="e">
        <f t="shared" si="12"/>
        <v>#REF!</v>
      </c>
      <c r="R18" s="73" t="e">
        <f t="shared" si="12"/>
        <v>#REF!</v>
      </c>
    </row>
    <row r="19" spans="2:18" s="59" customFormat="1" ht="22.5" customHeight="1" x14ac:dyDescent="0.4">
      <c r="B19" s="63" t="s">
        <v>81</v>
      </c>
      <c r="C19" s="103" t="e">
        <f>#REF!</f>
        <v>#REF!</v>
      </c>
      <c r="D19" s="103" t="e">
        <f>#REF!</f>
        <v>#REF!</v>
      </c>
      <c r="E19" s="69" t="e">
        <f>#REF!</f>
        <v>#REF!</v>
      </c>
      <c r="F19" s="69" t="e">
        <f t="shared" si="13"/>
        <v>#REF!</v>
      </c>
      <c r="G19" s="69" t="e">
        <f t="shared" si="13"/>
        <v>#REF!</v>
      </c>
      <c r="H19" s="69" t="e">
        <f t="shared" si="13"/>
        <v>#REF!</v>
      </c>
      <c r="I19" s="69" t="e">
        <f t="shared" si="13"/>
        <v>#REF!</v>
      </c>
      <c r="J19" s="69" t="e">
        <f t="shared" si="13"/>
        <v>#REF!</v>
      </c>
      <c r="L19" s="63" t="str">
        <f t="shared" si="11"/>
        <v>税金・社会保険料</v>
      </c>
      <c r="M19" s="73" t="e">
        <f t="shared" ref="M19:M20" si="15">E19</f>
        <v>#REF!</v>
      </c>
      <c r="N19" s="73" t="e">
        <f t="shared" si="14"/>
        <v>#REF!</v>
      </c>
      <c r="O19" s="73" t="e">
        <f t="shared" si="12"/>
        <v>#REF!</v>
      </c>
      <c r="P19" s="73" t="e">
        <f t="shared" si="12"/>
        <v>#REF!</v>
      </c>
      <c r="Q19" s="73" t="e">
        <f t="shared" si="12"/>
        <v>#REF!</v>
      </c>
      <c r="R19" s="73" t="e">
        <f t="shared" si="12"/>
        <v>#REF!</v>
      </c>
    </row>
    <row r="20" spans="2:18" s="59" customFormat="1" ht="22.5" customHeight="1" x14ac:dyDescent="0.4">
      <c r="B20" s="63" t="s">
        <v>151</v>
      </c>
      <c r="C20" s="103" t="e">
        <f>#REF!</f>
        <v>#REF!</v>
      </c>
      <c r="D20" s="103" t="e">
        <f>#REF!</f>
        <v>#REF!</v>
      </c>
      <c r="E20" s="69" t="e">
        <f>#REF!</f>
        <v>#REF!</v>
      </c>
      <c r="F20" s="69" t="e">
        <f t="shared" si="13"/>
        <v>#REF!</v>
      </c>
      <c r="G20" s="69" t="e">
        <f t="shared" si="13"/>
        <v>#REF!</v>
      </c>
      <c r="H20" s="69" t="e">
        <f t="shared" si="13"/>
        <v>#REF!</v>
      </c>
      <c r="I20" s="69" t="e">
        <f t="shared" si="13"/>
        <v>#REF!</v>
      </c>
      <c r="J20" s="69" t="e">
        <f t="shared" si="13"/>
        <v>#REF!</v>
      </c>
      <c r="L20" s="63" t="str">
        <f t="shared" si="11"/>
        <v>リース・利息・その他</v>
      </c>
      <c r="M20" s="73" t="e">
        <f t="shared" si="15"/>
        <v>#REF!</v>
      </c>
      <c r="N20" s="73" t="e">
        <f t="shared" si="14"/>
        <v>#REF!</v>
      </c>
      <c r="O20" s="73" t="e">
        <f t="shared" si="12"/>
        <v>#REF!</v>
      </c>
      <c r="P20" s="73" t="e">
        <f t="shared" si="12"/>
        <v>#REF!</v>
      </c>
      <c r="Q20" s="73" t="e">
        <f t="shared" si="12"/>
        <v>#REF!</v>
      </c>
      <c r="R20" s="73" t="e">
        <f t="shared" si="12"/>
        <v>#REF!</v>
      </c>
    </row>
    <row r="21" spans="2:18" s="59" customFormat="1" ht="22.5" customHeight="1" x14ac:dyDescent="0.4">
      <c r="B21" s="70" t="s">
        <v>124</v>
      </c>
      <c r="C21" s="71" t="e">
        <f t="shared" ref="C21:J21" si="16">C15+SUM(C17:C20)</f>
        <v>#REF!</v>
      </c>
      <c r="D21" s="71" t="e">
        <f t="shared" si="16"/>
        <v>#REF!</v>
      </c>
      <c r="E21" s="71" t="e">
        <f t="shared" si="16"/>
        <v>#REF!</v>
      </c>
      <c r="F21" s="71" t="e">
        <f t="shared" si="16"/>
        <v>#REF!</v>
      </c>
      <c r="G21" s="71" t="e">
        <f t="shared" si="16"/>
        <v>#REF!</v>
      </c>
      <c r="H21" s="71" t="e">
        <f t="shared" si="16"/>
        <v>#REF!</v>
      </c>
      <c r="I21" s="71" t="e">
        <f t="shared" si="16"/>
        <v>#REF!</v>
      </c>
      <c r="J21" s="71" t="e">
        <f t="shared" si="16"/>
        <v>#REF!</v>
      </c>
      <c r="L21" s="70" t="str">
        <f t="shared" si="11"/>
        <v>経常支出</v>
      </c>
      <c r="M21" s="74" t="e">
        <f t="shared" ref="M21:R21" si="17">M15+SUM(M17:M20)</f>
        <v>#REF!</v>
      </c>
      <c r="N21" s="74" t="e">
        <f t="shared" si="17"/>
        <v>#REF!</v>
      </c>
      <c r="O21" s="74" t="e">
        <f t="shared" si="17"/>
        <v>#REF!</v>
      </c>
      <c r="P21" s="74" t="e">
        <f t="shared" si="17"/>
        <v>#REF!</v>
      </c>
      <c r="Q21" s="74" t="e">
        <f t="shared" si="17"/>
        <v>#REF!</v>
      </c>
      <c r="R21" s="74" t="e">
        <f t="shared" si="17"/>
        <v>#REF!</v>
      </c>
    </row>
    <row r="22" spans="2:18" s="59" customFormat="1" ht="22.5" customHeight="1" x14ac:dyDescent="0.4">
      <c r="B22" s="70" t="s">
        <v>123</v>
      </c>
      <c r="C22" s="106" t="e">
        <f t="shared" ref="C22:J22" si="18">C11-C21</f>
        <v>#REF!</v>
      </c>
      <c r="D22" s="106" t="e">
        <f t="shared" si="18"/>
        <v>#REF!</v>
      </c>
      <c r="E22" s="76" t="e">
        <f t="shared" si="18"/>
        <v>#REF!</v>
      </c>
      <c r="F22" s="76" t="e">
        <f t="shared" si="18"/>
        <v>#REF!</v>
      </c>
      <c r="G22" s="76" t="e">
        <f t="shared" si="18"/>
        <v>#REF!</v>
      </c>
      <c r="H22" s="76" t="e">
        <f t="shared" si="18"/>
        <v>#REF!</v>
      </c>
      <c r="I22" s="76" t="e">
        <f t="shared" si="18"/>
        <v>#REF!</v>
      </c>
      <c r="J22" s="76" t="e">
        <f t="shared" si="18"/>
        <v>#REF!</v>
      </c>
      <c r="L22" s="70" t="str">
        <f t="shared" si="11"/>
        <v>経常収支</v>
      </c>
      <c r="M22" s="76" t="e">
        <f t="shared" ref="M22:R22" si="19">M11-M21</f>
        <v>#REF!</v>
      </c>
      <c r="N22" s="76" t="e">
        <f t="shared" si="19"/>
        <v>#REF!</v>
      </c>
      <c r="O22" s="76" t="e">
        <f t="shared" si="19"/>
        <v>#REF!</v>
      </c>
      <c r="P22" s="76" t="e">
        <f t="shared" si="19"/>
        <v>#REF!</v>
      </c>
      <c r="Q22" s="76" t="e">
        <f t="shared" si="19"/>
        <v>#REF!</v>
      </c>
      <c r="R22" s="76" t="e">
        <f t="shared" si="19"/>
        <v>#REF!</v>
      </c>
    </row>
    <row r="23" spans="2:18" s="59" customFormat="1" ht="22.5" customHeight="1" x14ac:dyDescent="0.4">
      <c r="B23" s="63" t="s">
        <v>95</v>
      </c>
      <c r="C23" s="103"/>
      <c r="D23" s="103"/>
      <c r="E23" s="69"/>
      <c r="F23" s="69"/>
      <c r="G23" s="69"/>
      <c r="H23" s="69"/>
      <c r="I23" s="69"/>
      <c r="J23" s="69"/>
      <c r="L23" s="63" t="str">
        <f t="shared" si="11"/>
        <v>借入金調達</v>
      </c>
      <c r="M23" s="73">
        <f>E23</f>
        <v>0</v>
      </c>
      <c r="N23" s="73">
        <f t="shared" ref="N23:R24" si="20">F23</f>
        <v>0</v>
      </c>
      <c r="O23" s="73">
        <f t="shared" si="20"/>
        <v>0</v>
      </c>
      <c r="P23" s="73">
        <f t="shared" si="20"/>
        <v>0</v>
      </c>
      <c r="Q23" s="73">
        <f t="shared" si="20"/>
        <v>0</v>
      </c>
      <c r="R23" s="73">
        <f t="shared" si="20"/>
        <v>0</v>
      </c>
    </row>
    <row r="24" spans="2:18" s="59" customFormat="1" ht="22.5" customHeight="1" x14ac:dyDescent="0.4">
      <c r="B24" s="63" t="s">
        <v>80</v>
      </c>
      <c r="C24" s="103" t="e">
        <f>#REF!</f>
        <v>#REF!</v>
      </c>
      <c r="D24" s="103" t="e">
        <f>C24</f>
        <v>#REF!</v>
      </c>
      <c r="E24" s="111" t="e">
        <f>D24</f>
        <v>#REF!</v>
      </c>
      <c r="F24" s="102" t="e">
        <f t="shared" ref="F24:I24" si="21">E24</f>
        <v>#REF!</v>
      </c>
      <c r="G24" s="102" t="e">
        <f t="shared" si="21"/>
        <v>#REF!</v>
      </c>
      <c r="H24" s="102" t="e">
        <f t="shared" si="21"/>
        <v>#REF!</v>
      </c>
      <c r="I24" s="102" t="e">
        <f t="shared" si="21"/>
        <v>#REF!</v>
      </c>
      <c r="J24" s="102" t="e">
        <f>I24</f>
        <v>#REF!</v>
      </c>
      <c r="L24" s="63" t="str">
        <f t="shared" si="11"/>
        <v>借入金返済</v>
      </c>
      <c r="M24" s="73" t="e">
        <f>E24</f>
        <v>#REF!</v>
      </c>
      <c r="N24" s="73" t="e">
        <f t="shared" si="20"/>
        <v>#REF!</v>
      </c>
      <c r="O24" s="73" t="e">
        <f t="shared" si="20"/>
        <v>#REF!</v>
      </c>
      <c r="P24" s="73" t="e">
        <f t="shared" si="20"/>
        <v>#REF!</v>
      </c>
      <c r="Q24" s="73" t="e">
        <f t="shared" si="20"/>
        <v>#REF!</v>
      </c>
      <c r="R24" s="73" t="e">
        <f t="shared" si="20"/>
        <v>#REF!</v>
      </c>
    </row>
    <row r="25" spans="2:18" s="59" customFormat="1" ht="22.5" customHeight="1" x14ac:dyDescent="0.4">
      <c r="B25" s="63" t="s">
        <v>147</v>
      </c>
      <c r="C25" s="103"/>
      <c r="D25" s="103"/>
      <c r="E25" s="69"/>
      <c r="F25" s="69"/>
      <c r="G25" s="69"/>
      <c r="H25" s="69"/>
      <c r="I25" s="69"/>
      <c r="J25" s="69"/>
      <c r="L25" s="63" t="str">
        <f t="shared" si="11"/>
        <v>設備投資</v>
      </c>
      <c r="M25" s="108"/>
      <c r="N25" s="108"/>
      <c r="O25" s="108"/>
      <c r="P25" s="108"/>
      <c r="Q25" s="108"/>
      <c r="R25" s="108"/>
    </row>
    <row r="26" spans="2:18" s="59" customFormat="1" ht="22.5" customHeight="1" x14ac:dyDescent="0.4">
      <c r="B26" s="70" t="s">
        <v>152</v>
      </c>
      <c r="C26" s="107" t="e">
        <f>C23-C24+C25</f>
        <v>#REF!</v>
      </c>
      <c r="D26" s="107" t="e">
        <f t="shared" ref="D26:J26" si="22">D23-D24+D25</f>
        <v>#REF!</v>
      </c>
      <c r="E26" s="107" t="e">
        <f t="shared" si="22"/>
        <v>#REF!</v>
      </c>
      <c r="F26" s="107" t="e">
        <f t="shared" si="22"/>
        <v>#REF!</v>
      </c>
      <c r="G26" s="107" t="e">
        <f t="shared" si="22"/>
        <v>#REF!</v>
      </c>
      <c r="H26" s="107" t="e">
        <f t="shared" si="22"/>
        <v>#REF!</v>
      </c>
      <c r="I26" s="107" t="e">
        <f t="shared" si="22"/>
        <v>#REF!</v>
      </c>
      <c r="J26" s="107" t="e">
        <f t="shared" si="22"/>
        <v>#REF!</v>
      </c>
      <c r="L26" s="70" t="str">
        <f t="shared" si="11"/>
        <v>財務収支他</v>
      </c>
      <c r="M26" s="107" t="e">
        <f>M23-M24+M25</f>
        <v>#REF!</v>
      </c>
      <c r="N26" s="107" t="e">
        <f t="shared" ref="N26:R26" si="23">N23-N24+N25</f>
        <v>#REF!</v>
      </c>
      <c r="O26" s="107" t="e">
        <f t="shared" si="23"/>
        <v>#REF!</v>
      </c>
      <c r="P26" s="107" t="e">
        <f t="shared" si="23"/>
        <v>#REF!</v>
      </c>
      <c r="Q26" s="107" t="e">
        <f t="shared" si="23"/>
        <v>#REF!</v>
      </c>
      <c r="R26" s="107" t="e">
        <f t="shared" si="23"/>
        <v>#REF!</v>
      </c>
    </row>
    <row r="27" spans="2:18" s="59" customFormat="1" ht="22.5" customHeight="1" x14ac:dyDescent="0.4">
      <c r="B27" s="70" t="s">
        <v>84</v>
      </c>
      <c r="C27" s="107" t="e">
        <f t="shared" ref="C27:J27" si="24">C22+C26</f>
        <v>#REF!</v>
      </c>
      <c r="D27" s="107" t="e">
        <f t="shared" si="24"/>
        <v>#REF!</v>
      </c>
      <c r="E27" s="107" t="e">
        <f t="shared" si="24"/>
        <v>#REF!</v>
      </c>
      <c r="F27" s="107" t="e">
        <f t="shared" si="24"/>
        <v>#REF!</v>
      </c>
      <c r="G27" s="107" t="e">
        <f t="shared" si="24"/>
        <v>#REF!</v>
      </c>
      <c r="H27" s="107" t="e">
        <f t="shared" si="24"/>
        <v>#REF!</v>
      </c>
      <c r="I27" s="107" t="e">
        <f t="shared" si="24"/>
        <v>#REF!</v>
      </c>
      <c r="J27" s="107" t="e">
        <f t="shared" si="24"/>
        <v>#REF!</v>
      </c>
      <c r="L27" s="70" t="str">
        <f t="shared" si="11"/>
        <v>当月収支</v>
      </c>
      <c r="M27" s="107" t="e">
        <f t="shared" ref="M27:R27" si="25">M22+M26</f>
        <v>#REF!</v>
      </c>
      <c r="N27" s="107" t="e">
        <f t="shared" si="25"/>
        <v>#REF!</v>
      </c>
      <c r="O27" s="107" t="e">
        <f t="shared" si="25"/>
        <v>#REF!</v>
      </c>
      <c r="P27" s="107" t="e">
        <f t="shared" si="25"/>
        <v>#REF!</v>
      </c>
      <c r="Q27" s="107" t="e">
        <f t="shared" si="25"/>
        <v>#REF!</v>
      </c>
      <c r="R27" s="107" t="e">
        <f t="shared" si="25"/>
        <v>#REF!</v>
      </c>
    </row>
    <row r="28" spans="2:18" s="59" customFormat="1" ht="22.5" customHeight="1" x14ac:dyDescent="0.4">
      <c r="B28" s="77" t="s">
        <v>85</v>
      </c>
      <c r="C28" s="78" t="e">
        <f t="shared" ref="C28:J28" si="26">C6+C27</f>
        <v>#REF!</v>
      </c>
      <c r="D28" s="78" t="e">
        <f t="shared" si="26"/>
        <v>#REF!</v>
      </c>
      <c r="E28" s="78" t="e">
        <f t="shared" si="26"/>
        <v>#REF!</v>
      </c>
      <c r="F28" s="78" t="e">
        <f t="shared" si="26"/>
        <v>#REF!</v>
      </c>
      <c r="G28" s="78" t="e">
        <f t="shared" si="26"/>
        <v>#REF!</v>
      </c>
      <c r="H28" s="78" t="e">
        <f t="shared" si="26"/>
        <v>#REF!</v>
      </c>
      <c r="I28" s="78" t="e">
        <f t="shared" si="26"/>
        <v>#REF!</v>
      </c>
      <c r="J28" s="78" t="e">
        <f t="shared" si="26"/>
        <v>#REF!</v>
      </c>
      <c r="L28" s="77" t="str">
        <f t="shared" si="11"/>
        <v>月末現金残高</v>
      </c>
      <c r="M28" s="78" t="e">
        <f t="shared" ref="M28:R28" si="27">M6+M27</f>
        <v>#REF!</v>
      </c>
      <c r="N28" s="78" t="e">
        <f t="shared" si="27"/>
        <v>#REF!</v>
      </c>
      <c r="O28" s="78" t="e">
        <f t="shared" si="27"/>
        <v>#REF!</v>
      </c>
      <c r="P28" s="78" t="e">
        <f t="shared" si="27"/>
        <v>#REF!</v>
      </c>
      <c r="Q28" s="78" t="e">
        <f t="shared" si="27"/>
        <v>#REF!</v>
      </c>
      <c r="R28" s="78" t="e">
        <f t="shared" si="27"/>
        <v>#REF!</v>
      </c>
    </row>
    <row r="33" spans="2:13" x14ac:dyDescent="0.4">
      <c r="I33" s="228"/>
      <c r="J33" s="228"/>
      <c r="K33" s="46"/>
      <c r="L33" s="46"/>
      <c r="M33" s="46"/>
    </row>
    <row r="34" spans="2:13" x14ac:dyDescent="0.4">
      <c r="B34"/>
      <c r="C34"/>
      <c r="D34"/>
      <c r="E34" s="229"/>
      <c r="F34" s="229"/>
      <c r="G34" s="96"/>
      <c r="H34" s="55"/>
      <c r="I34" s="55"/>
      <c r="J34" s="55"/>
      <c r="K34" s="110"/>
      <c r="L34" s="110"/>
      <c r="M34" s="96"/>
    </row>
    <row r="35" spans="2:13" x14ac:dyDescent="0.4">
      <c r="B35"/>
      <c r="C35"/>
      <c r="D35"/>
      <c r="E35" s="55"/>
      <c r="F35" s="55"/>
      <c r="G35" s="96"/>
      <c r="H35" s="55"/>
      <c r="I35" s="55"/>
      <c r="J35" s="55"/>
      <c r="K35" s="55"/>
      <c r="L35" s="55"/>
      <c r="M35" s="96"/>
    </row>
    <row r="36" spans="2:13" x14ac:dyDescent="0.4">
      <c r="B36"/>
      <c r="C36"/>
      <c r="D36"/>
      <c r="E36" s="55"/>
      <c r="F36" s="55"/>
      <c r="G36" s="96"/>
      <c r="H36" s="55"/>
      <c r="I36" s="223"/>
      <c r="J36" s="223"/>
      <c r="K36" s="55"/>
      <c r="L36" s="55"/>
      <c r="M36" s="96"/>
    </row>
  </sheetData>
  <mergeCells count="6">
    <mergeCell ref="I36:J36"/>
    <mergeCell ref="E1:P1"/>
    <mergeCell ref="B4:G4"/>
    <mergeCell ref="L4:O4"/>
    <mergeCell ref="I33:J33"/>
    <mergeCell ref="E34:F34"/>
  </mergeCells>
  <phoneticPr fontId="3"/>
  <pageMargins left="0.7" right="0.7" top="0.75" bottom="0.75" header="0.3" footer="0.3"/>
  <pageSetup paperSize="9" scale="62"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6BDE99-D2F2-4C37-BC1E-B673373139AC}">
  <sheetPr>
    <pageSetUpPr fitToPage="1"/>
  </sheetPr>
  <dimension ref="B3:M21"/>
  <sheetViews>
    <sheetView workbookViewId="0">
      <selection sqref="A1:XFD1"/>
    </sheetView>
  </sheetViews>
  <sheetFormatPr defaultRowHeight="18.75" x14ac:dyDescent="0.4"/>
  <cols>
    <col min="1" max="1" width="6" customWidth="1"/>
    <col min="2" max="2" width="44.875" customWidth="1"/>
    <col min="3" max="3" width="104.625" bestFit="1" customWidth="1"/>
    <col min="4" max="4" width="6.375" customWidth="1"/>
    <col min="7" max="7" width="7.125" customWidth="1"/>
  </cols>
  <sheetData>
    <row r="3" spans="2:13" ht="37.5" x14ac:dyDescent="0.4">
      <c r="B3" s="44" t="s">
        <v>92</v>
      </c>
      <c r="C3" t="s">
        <v>93</v>
      </c>
      <c r="D3" t="s">
        <v>46</v>
      </c>
      <c r="E3" s="45">
        <v>7500</v>
      </c>
      <c r="F3" s="46" t="s">
        <v>45</v>
      </c>
      <c r="G3" s="46" t="s">
        <v>54</v>
      </c>
      <c r="H3" s="45">
        <v>3200</v>
      </c>
      <c r="I3" t="s">
        <v>45</v>
      </c>
      <c r="J3" t="s">
        <v>48</v>
      </c>
      <c r="K3" s="45">
        <v>0</v>
      </c>
      <c r="L3" t="s">
        <v>50</v>
      </c>
      <c r="M3" s="45">
        <v>2200</v>
      </c>
    </row>
    <row r="4" spans="2:13" x14ac:dyDescent="0.4">
      <c r="C4" t="s">
        <v>55</v>
      </c>
      <c r="D4" t="s">
        <v>46</v>
      </c>
      <c r="E4" s="45">
        <v>8000</v>
      </c>
      <c r="F4" s="46" t="s">
        <v>45</v>
      </c>
      <c r="G4" s="46" t="s">
        <v>54</v>
      </c>
      <c r="H4" s="45">
        <v>3300</v>
      </c>
      <c r="I4" t="s">
        <v>45</v>
      </c>
      <c r="J4" t="s">
        <v>48</v>
      </c>
      <c r="K4" s="45">
        <v>0</v>
      </c>
      <c r="L4" t="s">
        <v>50</v>
      </c>
      <c r="M4" s="45">
        <v>2250</v>
      </c>
    </row>
    <row r="5" spans="2:13" x14ac:dyDescent="0.4">
      <c r="C5" t="s">
        <v>56</v>
      </c>
      <c r="D5" t="s">
        <v>46</v>
      </c>
      <c r="E5" s="45">
        <v>8500</v>
      </c>
      <c r="F5" s="46" t="s">
        <v>45</v>
      </c>
      <c r="G5" s="46" t="s">
        <v>54</v>
      </c>
      <c r="H5" s="45">
        <v>3500</v>
      </c>
      <c r="I5" t="s">
        <v>45</v>
      </c>
      <c r="J5" t="s">
        <v>48</v>
      </c>
      <c r="K5" s="45">
        <v>0</v>
      </c>
      <c r="L5" t="s">
        <v>50</v>
      </c>
      <c r="M5" s="45">
        <v>2300</v>
      </c>
    </row>
    <row r="6" spans="2:13" x14ac:dyDescent="0.4">
      <c r="C6" t="s">
        <v>57</v>
      </c>
      <c r="D6" t="s">
        <v>46</v>
      </c>
      <c r="E6" s="45">
        <v>9000</v>
      </c>
      <c r="F6" s="46" t="s">
        <v>45</v>
      </c>
      <c r="G6" s="46" t="s">
        <v>54</v>
      </c>
      <c r="H6" s="45">
        <v>3700</v>
      </c>
      <c r="I6" t="s">
        <v>45</v>
      </c>
      <c r="J6" t="s">
        <v>48</v>
      </c>
      <c r="K6" s="45">
        <v>0</v>
      </c>
      <c r="L6" t="s">
        <v>50</v>
      </c>
      <c r="M6" s="45">
        <v>2350</v>
      </c>
    </row>
    <row r="7" spans="2:13" x14ac:dyDescent="0.4">
      <c r="C7" t="s">
        <v>58</v>
      </c>
      <c r="D7" t="s">
        <v>46</v>
      </c>
      <c r="E7" s="45">
        <v>9500</v>
      </c>
      <c r="F7" s="46" t="s">
        <v>45</v>
      </c>
      <c r="G7" s="46" t="s">
        <v>54</v>
      </c>
      <c r="H7" s="45">
        <v>3800</v>
      </c>
      <c r="I7" t="s">
        <v>45</v>
      </c>
      <c r="J7" t="s">
        <v>48</v>
      </c>
      <c r="K7" s="45">
        <v>0</v>
      </c>
      <c r="L7" t="s">
        <v>50</v>
      </c>
      <c r="M7" s="45">
        <v>2400</v>
      </c>
    </row>
    <row r="8" spans="2:13" x14ac:dyDescent="0.4">
      <c r="C8" t="s">
        <v>59</v>
      </c>
      <c r="D8" t="s">
        <v>46</v>
      </c>
      <c r="E8" s="45">
        <v>10000</v>
      </c>
      <c r="F8" s="46" t="s">
        <v>45</v>
      </c>
      <c r="G8" s="46" t="s">
        <v>54</v>
      </c>
      <c r="H8" s="45">
        <v>4000</v>
      </c>
      <c r="I8" t="s">
        <v>45</v>
      </c>
      <c r="J8" t="s">
        <v>48</v>
      </c>
      <c r="K8" s="45">
        <v>0</v>
      </c>
      <c r="L8" t="s">
        <v>50</v>
      </c>
      <c r="M8" s="45">
        <v>2500</v>
      </c>
    </row>
    <row r="9" spans="2:13" x14ac:dyDescent="0.4">
      <c r="B9" t="s">
        <v>60</v>
      </c>
      <c r="C9" t="s">
        <v>61</v>
      </c>
      <c r="E9" s="45">
        <v>1200</v>
      </c>
      <c r="F9" t="s">
        <v>45</v>
      </c>
    </row>
    <row r="10" spans="2:13" x14ac:dyDescent="0.4">
      <c r="C10" t="s">
        <v>62</v>
      </c>
      <c r="E10" s="45">
        <v>2200</v>
      </c>
      <c r="F10" t="s">
        <v>45</v>
      </c>
    </row>
    <row r="11" spans="2:13" x14ac:dyDescent="0.4">
      <c r="C11" t="s">
        <v>63</v>
      </c>
      <c r="E11" s="45">
        <v>225</v>
      </c>
      <c r="F11" t="s">
        <v>45</v>
      </c>
    </row>
    <row r="12" spans="2:13" x14ac:dyDescent="0.4">
      <c r="C12" t="s">
        <v>64</v>
      </c>
      <c r="E12" s="45">
        <v>250</v>
      </c>
      <c r="F12" t="s">
        <v>45</v>
      </c>
    </row>
    <row r="13" spans="2:13" x14ac:dyDescent="0.4">
      <c r="C13" t="s">
        <v>65</v>
      </c>
      <c r="E13" s="45">
        <v>120</v>
      </c>
      <c r="F13" t="s">
        <v>45</v>
      </c>
    </row>
    <row r="14" spans="2:13" x14ac:dyDescent="0.4">
      <c r="C14" t="s">
        <v>94</v>
      </c>
      <c r="E14" s="45">
        <v>0</v>
      </c>
      <c r="F14" t="s">
        <v>45</v>
      </c>
    </row>
    <row r="15" spans="2:13" x14ac:dyDescent="0.4">
      <c r="B15" t="s">
        <v>66</v>
      </c>
      <c r="C15" t="s">
        <v>67</v>
      </c>
      <c r="E15" s="45">
        <v>30000</v>
      </c>
      <c r="F15" t="s">
        <v>45</v>
      </c>
    </row>
    <row r="16" spans="2:13" x14ac:dyDescent="0.4">
      <c r="B16" s="222" t="s">
        <v>68</v>
      </c>
      <c r="C16" t="s">
        <v>104</v>
      </c>
      <c r="E16" s="47">
        <v>0.3</v>
      </c>
    </row>
    <row r="17" spans="2:9" x14ac:dyDescent="0.4">
      <c r="B17" s="222"/>
      <c r="C17" t="s">
        <v>105</v>
      </c>
      <c r="E17" s="47">
        <v>0.7</v>
      </c>
      <c r="G17" s="48">
        <v>1</v>
      </c>
      <c r="H17" t="s">
        <v>69</v>
      </c>
      <c r="I17" t="s">
        <v>70</v>
      </c>
    </row>
    <row r="18" spans="2:9" x14ac:dyDescent="0.4">
      <c r="B18" s="222"/>
      <c r="C18" t="s">
        <v>106</v>
      </c>
      <c r="E18" s="47">
        <v>0</v>
      </c>
      <c r="G18" s="48">
        <v>3</v>
      </c>
      <c r="H18" t="s">
        <v>69</v>
      </c>
      <c r="I18" t="s">
        <v>70</v>
      </c>
    </row>
    <row r="19" spans="2:9" x14ac:dyDescent="0.4">
      <c r="B19" s="222" t="s">
        <v>71</v>
      </c>
      <c r="C19" t="s">
        <v>100</v>
      </c>
      <c r="E19" s="47">
        <v>0.6</v>
      </c>
    </row>
    <row r="20" spans="2:9" x14ac:dyDescent="0.4">
      <c r="B20" s="222"/>
      <c r="C20" t="s">
        <v>107</v>
      </c>
      <c r="E20" s="47">
        <v>0.4</v>
      </c>
      <c r="G20" s="48">
        <v>1</v>
      </c>
      <c r="H20" t="s">
        <v>69</v>
      </c>
      <c r="I20" t="s">
        <v>70</v>
      </c>
    </row>
    <row r="21" spans="2:9" x14ac:dyDescent="0.4">
      <c r="B21" s="222"/>
      <c r="C21" t="s">
        <v>108</v>
      </c>
      <c r="E21" s="47">
        <v>0</v>
      </c>
      <c r="G21" s="48">
        <v>0</v>
      </c>
      <c r="H21" t="s">
        <v>69</v>
      </c>
      <c r="I21" t="s">
        <v>70</v>
      </c>
    </row>
  </sheetData>
  <mergeCells count="2">
    <mergeCell ref="B16:B18"/>
    <mergeCell ref="B19:B21"/>
  </mergeCells>
  <phoneticPr fontId="3"/>
  <pageMargins left="0.7" right="0.7" top="0.75" bottom="0.75" header="0.3" footer="0.3"/>
  <pageSetup paperSize="9" scale="5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BFA04B-EF3E-41A5-808F-020333E0F19A}">
  <sheetPr>
    <pageSetUpPr fitToPage="1"/>
  </sheetPr>
  <dimension ref="B2:M20"/>
  <sheetViews>
    <sheetView workbookViewId="0">
      <selection activeCell="C5" sqref="C5"/>
    </sheetView>
  </sheetViews>
  <sheetFormatPr defaultRowHeight="18.75" x14ac:dyDescent="0.4"/>
  <cols>
    <col min="1" max="1" width="6" customWidth="1"/>
    <col min="2" max="2" width="44.875" customWidth="1"/>
    <col min="3" max="3" width="104.625" bestFit="1" customWidth="1"/>
    <col min="4" max="4" width="6.375" customWidth="1"/>
    <col min="7" max="7" width="7.125" customWidth="1"/>
  </cols>
  <sheetData>
    <row r="2" spans="2:13" ht="37.5" x14ac:dyDescent="0.4">
      <c r="B2" s="44" t="s">
        <v>92</v>
      </c>
      <c r="C2" t="s">
        <v>93</v>
      </c>
      <c r="D2" t="s">
        <v>46</v>
      </c>
      <c r="E2" s="45">
        <v>7500</v>
      </c>
      <c r="F2" s="46" t="s">
        <v>45</v>
      </c>
      <c r="G2" s="46" t="s">
        <v>54</v>
      </c>
      <c r="H2" s="45">
        <v>3200</v>
      </c>
      <c r="I2" t="s">
        <v>45</v>
      </c>
      <c r="J2" t="s">
        <v>48</v>
      </c>
      <c r="K2" s="45">
        <v>0</v>
      </c>
      <c r="L2" t="s">
        <v>50</v>
      </c>
      <c r="M2" s="45">
        <v>2200</v>
      </c>
    </row>
    <row r="3" spans="2:13" x14ac:dyDescent="0.4">
      <c r="C3" t="s">
        <v>55</v>
      </c>
      <c r="D3" t="s">
        <v>46</v>
      </c>
      <c r="E3" s="45">
        <v>8000</v>
      </c>
      <c r="F3" s="46" t="s">
        <v>45</v>
      </c>
      <c r="G3" s="46" t="s">
        <v>54</v>
      </c>
      <c r="H3" s="45">
        <v>3300</v>
      </c>
      <c r="I3" t="s">
        <v>45</v>
      </c>
      <c r="J3" t="s">
        <v>48</v>
      </c>
      <c r="K3" s="45">
        <v>0</v>
      </c>
      <c r="L3" t="s">
        <v>50</v>
      </c>
      <c r="M3" s="45">
        <v>2250</v>
      </c>
    </row>
    <row r="4" spans="2:13" x14ac:dyDescent="0.4">
      <c r="C4" t="s">
        <v>56</v>
      </c>
      <c r="D4" t="s">
        <v>46</v>
      </c>
      <c r="E4" s="45">
        <v>8500</v>
      </c>
      <c r="F4" s="46" t="s">
        <v>45</v>
      </c>
      <c r="G4" s="46" t="s">
        <v>54</v>
      </c>
      <c r="H4" s="45">
        <v>3500</v>
      </c>
      <c r="I4" t="s">
        <v>45</v>
      </c>
      <c r="J4" t="s">
        <v>48</v>
      </c>
      <c r="K4" s="45">
        <v>0</v>
      </c>
      <c r="L4" t="s">
        <v>50</v>
      </c>
      <c r="M4" s="45">
        <v>2300</v>
      </c>
    </row>
    <row r="5" spans="2:13" x14ac:dyDescent="0.4">
      <c r="C5" t="s">
        <v>57</v>
      </c>
      <c r="D5" t="s">
        <v>46</v>
      </c>
      <c r="E5" s="45">
        <v>9000</v>
      </c>
      <c r="F5" s="46" t="s">
        <v>45</v>
      </c>
      <c r="G5" s="46" t="s">
        <v>54</v>
      </c>
      <c r="H5" s="45">
        <v>3700</v>
      </c>
      <c r="I5" t="s">
        <v>45</v>
      </c>
      <c r="J5" t="s">
        <v>48</v>
      </c>
      <c r="K5" s="45">
        <v>0</v>
      </c>
      <c r="L5" t="s">
        <v>50</v>
      </c>
      <c r="M5" s="45">
        <v>2350</v>
      </c>
    </row>
    <row r="6" spans="2:13" x14ac:dyDescent="0.4">
      <c r="C6" t="s">
        <v>58</v>
      </c>
      <c r="D6" t="s">
        <v>46</v>
      </c>
      <c r="E6" s="45">
        <v>9500</v>
      </c>
      <c r="F6" s="46" t="s">
        <v>45</v>
      </c>
      <c r="G6" s="46" t="s">
        <v>54</v>
      </c>
      <c r="H6" s="45">
        <v>3800</v>
      </c>
      <c r="I6" t="s">
        <v>45</v>
      </c>
      <c r="J6" t="s">
        <v>48</v>
      </c>
      <c r="K6" s="45">
        <v>0</v>
      </c>
      <c r="L6" t="s">
        <v>50</v>
      </c>
      <c r="M6" s="45">
        <v>2400</v>
      </c>
    </row>
    <row r="7" spans="2:13" x14ac:dyDescent="0.4">
      <c r="C7" t="s">
        <v>59</v>
      </c>
      <c r="D7" t="s">
        <v>46</v>
      </c>
      <c r="E7" s="45">
        <v>10000</v>
      </c>
      <c r="F7" s="46" t="s">
        <v>45</v>
      </c>
      <c r="G7" s="46" t="s">
        <v>54</v>
      </c>
      <c r="H7" s="45">
        <v>4000</v>
      </c>
      <c r="I7" t="s">
        <v>45</v>
      </c>
      <c r="J7" t="s">
        <v>48</v>
      </c>
      <c r="K7" s="45">
        <v>0</v>
      </c>
      <c r="L7" t="s">
        <v>50</v>
      </c>
      <c r="M7" s="45">
        <v>2500</v>
      </c>
    </row>
    <row r="8" spans="2:13" x14ac:dyDescent="0.4">
      <c r="B8" t="s">
        <v>60</v>
      </c>
      <c r="C8" t="s">
        <v>61</v>
      </c>
      <c r="E8" s="45">
        <v>1200</v>
      </c>
      <c r="F8" t="s">
        <v>45</v>
      </c>
    </row>
    <row r="9" spans="2:13" x14ac:dyDescent="0.4">
      <c r="C9" t="s">
        <v>62</v>
      </c>
      <c r="E9" s="45">
        <v>2200</v>
      </c>
      <c r="F9" t="s">
        <v>45</v>
      </c>
    </row>
    <row r="10" spans="2:13" x14ac:dyDescent="0.4">
      <c r="C10" t="s">
        <v>63</v>
      </c>
      <c r="E10" s="45">
        <v>225</v>
      </c>
      <c r="F10" t="s">
        <v>45</v>
      </c>
    </row>
    <row r="11" spans="2:13" x14ac:dyDescent="0.4">
      <c r="C11" t="s">
        <v>64</v>
      </c>
      <c r="E11" s="45">
        <v>250</v>
      </c>
      <c r="F11" t="s">
        <v>45</v>
      </c>
    </row>
    <row r="12" spans="2:13" x14ac:dyDescent="0.4">
      <c r="C12" t="s">
        <v>65</v>
      </c>
      <c r="E12" s="45">
        <v>120</v>
      </c>
      <c r="F12" t="s">
        <v>45</v>
      </c>
    </row>
    <row r="13" spans="2:13" x14ac:dyDescent="0.4">
      <c r="C13" t="s">
        <v>94</v>
      </c>
      <c r="E13" s="45">
        <v>0</v>
      </c>
      <c r="F13" t="s">
        <v>45</v>
      </c>
    </row>
    <row r="14" spans="2:13" x14ac:dyDescent="0.4">
      <c r="B14" t="s">
        <v>66</v>
      </c>
      <c r="C14" t="s">
        <v>67</v>
      </c>
      <c r="E14" s="45">
        <v>30000</v>
      </c>
      <c r="F14" t="s">
        <v>45</v>
      </c>
    </row>
    <row r="15" spans="2:13" x14ac:dyDescent="0.4">
      <c r="B15" s="222" t="s">
        <v>68</v>
      </c>
      <c r="C15" t="s">
        <v>104</v>
      </c>
      <c r="E15" s="47">
        <v>0.3</v>
      </c>
    </row>
    <row r="16" spans="2:13" x14ac:dyDescent="0.4">
      <c r="B16" s="222"/>
      <c r="C16" t="s">
        <v>105</v>
      </c>
      <c r="E16" s="47">
        <v>0.7</v>
      </c>
      <c r="G16" s="48">
        <v>1</v>
      </c>
      <c r="H16" t="s">
        <v>69</v>
      </c>
      <c r="I16" t="s">
        <v>70</v>
      </c>
    </row>
    <row r="17" spans="2:9" x14ac:dyDescent="0.4">
      <c r="B17" s="222"/>
      <c r="C17" t="s">
        <v>106</v>
      </c>
      <c r="E17" s="47">
        <v>0</v>
      </c>
      <c r="G17" s="48">
        <v>3</v>
      </c>
      <c r="H17" t="s">
        <v>69</v>
      </c>
      <c r="I17" t="s">
        <v>70</v>
      </c>
    </row>
    <row r="18" spans="2:9" x14ac:dyDescent="0.4">
      <c r="B18" s="222" t="s">
        <v>71</v>
      </c>
      <c r="C18" t="s">
        <v>100</v>
      </c>
      <c r="E18" s="47">
        <v>0.6</v>
      </c>
    </row>
    <row r="19" spans="2:9" x14ac:dyDescent="0.4">
      <c r="B19" s="222"/>
      <c r="C19" t="s">
        <v>107</v>
      </c>
      <c r="E19" s="47">
        <v>0.4</v>
      </c>
      <c r="G19" s="48">
        <v>1</v>
      </c>
      <c r="H19" t="s">
        <v>69</v>
      </c>
      <c r="I19" t="s">
        <v>70</v>
      </c>
    </row>
    <row r="20" spans="2:9" x14ac:dyDescent="0.4">
      <c r="B20" s="222"/>
      <c r="C20" t="s">
        <v>108</v>
      </c>
      <c r="E20" s="47">
        <v>0</v>
      </c>
      <c r="G20" s="48">
        <v>0</v>
      </c>
      <c r="H20" t="s">
        <v>69</v>
      </c>
      <c r="I20" t="s">
        <v>70</v>
      </c>
    </row>
  </sheetData>
  <mergeCells count="2">
    <mergeCell ref="B15:B17"/>
    <mergeCell ref="B18:B20"/>
  </mergeCells>
  <phoneticPr fontId="3"/>
  <pageMargins left="0.7" right="0.7" top="0.75" bottom="0.75" header="0.3" footer="0.3"/>
  <pageSetup paperSize="9" scale="5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11F3AF-6926-4786-BE27-9932825D28B5}">
  <sheetPr>
    <pageSetUpPr fitToPage="1"/>
  </sheetPr>
  <dimension ref="B1:Q38"/>
  <sheetViews>
    <sheetView view="pageBreakPreview" topLeftCell="A13" zoomScaleNormal="100" zoomScaleSheetLayoutView="100" workbookViewId="0">
      <selection activeCell="K14" sqref="K14"/>
    </sheetView>
  </sheetViews>
  <sheetFormatPr defaultRowHeight="18.75" x14ac:dyDescent="0.4"/>
  <cols>
    <col min="1" max="1" width="5.25" customWidth="1"/>
    <col min="2" max="2" width="17.625" style="85" customWidth="1"/>
    <col min="3" max="3" width="11.625" customWidth="1"/>
    <col min="4" max="7" width="9.375" bestFit="1" customWidth="1"/>
    <col min="9" max="9" width="6.875" customWidth="1"/>
    <col min="10" max="10" width="17.625" style="49" customWidth="1"/>
    <col min="11" max="16" width="9.375" bestFit="1" customWidth="1"/>
  </cols>
  <sheetData>
    <row r="1" spans="2:17" ht="30.75" thickBot="1" x14ac:dyDescent="0.45">
      <c r="C1" s="224" t="s">
        <v>96</v>
      </c>
      <c r="D1" s="224"/>
      <c r="E1" s="224"/>
      <c r="F1" s="224"/>
      <c r="G1" s="224"/>
      <c r="H1" s="224"/>
      <c r="I1" s="224"/>
      <c r="J1" s="224"/>
      <c r="K1" s="224"/>
      <c r="L1" s="224"/>
      <c r="M1" s="224"/>
      <c r="N1" s="224"/>
      <c r="O1" s="50" t="s">
        <v>72</v>
      </c>
      <c r="P1" s="51">
        <v>0.8</v>
      </c>
    </row>
    <row r="2" spans="2:17" x14ac:dyDescent="0.4">
      <c r="B2" s="86"/>
      <c r="C2" s="55"/>
      <c r="D2" s="55"/>
      <c r="E2" s="56"/>
      <c r="F2" s="55"/>
      <c r="G2" s="55"/>
      <c r="H2" s="55"/>
      <c r="I2" s="55"/>
      <c r="J2" s="55"/>
      <c r="K2" s="55"/>
      <c r="L2" s="55"/>
      <c r="M2" s="56"/>
      <c r="Q2" s="49"/>
    </row>
    <row r="3" spans="2:17" x14ac:dyDescent="0.4">
      <c r="B3" s="86"/>
      <c r="C3" s="55"/>
      <c r="D3" s="55"/>
      <c r="E3" s="56"/>
      <c r="F3" s="55"/>
      <c r="G3" s="55"/>
      <c r="H3" s="55"/>
      <c r="I3" s="55"/>
      <c r="J3" s="55"/>
      <c r="K3" s="55"/>
      <c r="L3" s="55"/>
      <c r="M3" s="56"/>
      <c r="Q3" s="49"/>
    </row>
    <row r="4" spans="2:17" s="89" customFormat="1" ht="25.5" x14ac:dyDescent="0.4">
      <c r="B4" s="244" t="s">
        <v>73</v>
      </c>
      <c r="C4" s="244"/>
      <c r="D4" s="244"/>
      <c r="E4" s="244"/>
      <c r="F4" s="87"/>
      <c r="G4" s="88"/>
      <c r="H4" s="88"/>
      <c r="I4" s="88"/>
      <c r="J4" s="245" t="s">
        <v>74</v>
      </c>
      <c r="K4" s="245"/>
      <c r="L4" s="245"/>
      <c r="M4" s="245"/>
    </row>
    <row r="5" spans="2:17" s="59" customFormat="1" ht="22.5" customHeight="1" x14ac:dyDescent="0.4">
      <c r="B5" s="60"/>
      <c r="C5" s="61">
        <f ca="1">NOW()+30</f>
        <v>45135.48655173611</v>
      </c>
      <c r="D5" s="61">
        <f ca="1">C5+30</f>
        <v>45165.48655173611</v>
      </c>
      <c r="E5" s="61">
        <f t="shared" ref="E5:H5" ca="1" si="0">D5+30</f>
        <v>45195.48655173611</v>
      </c>
      <c r="F5" s="61">
        <f t="shared" ca="1" si="0"/>
        <v>45225.48655173611</v>
      </c>
      <c r="G5" s="61">
        <f t="shared" ca="1" si="0"/>
        <v>45255.48655173611</v>
      </c>
      <c r="H5" s="84">
        <f t="shared" ca="1" si="0"/>
        <v>45285.48655173611</v>
      </c>
      <c r="J5" s="62"/>
      <c r="K5" s="61">
        <f t="shared" ref="K5:N5" ca="1" si="1">C5</f>
        <v>45135.48655173611</v>
      </c>
      <c r="L5" s="61">
        <f t="shared" ca="1" si="1"/>
        <v>45165.48655173611</v>
      </c>
      <c r="M5" s="61">
        <f t="shared" ca="1" si="1"/>
        <v>45195.48655173611</v>
      </c>
      <c r="N5" s="61">
        <f t="shared" ca="1" si="1"/>
        <v>45225.48655173611</v>
      </c>
      <c r="O5" s="61">
        <f ca="1">G5</f>
        <v>45255.48655173611</v>
      </c>
      <c r="P5" s="84">
        <f ca="1">H5</f>
        <v>45285.48655173611</v>
      </c>
    </row>
    <row r="6" spans="2:17" s="59" customFormat="1" ht="22.5" customHeight="1" x14ac:dyDescent="0.4">
      <c r="B6" s="63" t="s">
        <v>75</v>
      </c>
      <c r="C6" s="64">
        <f>'資金繰り表データ入力（製造）'!E14</f>
        <v>30000</v>
      </c>
      <c r="D6" s="64">
        <f>C27</f>
        <v>24135</v>
      </c>
      <c r="E6" s="64">
        <f>D27</f>
        <v>22280</v>
      </c>
      <c r="F6" s="64">
        <f>E27</f>
        <v>20715</v>
      </c>
      <c r="G6" s="64">
        <f>F27</f>
        <v>19400</v>
      </c>
      <c r="H6" s="64">
        <f>G27</f>
        <v>18395</v>
      </c>
      <c r="I6" s="58"/>
      <c r="J6" s="65" t="str">
        <f>B6</f>
        <v>月初現金残高</v>
      </c>
      <c r="K6" s="64">
        <f>C6</f>
        <v>30000</v>
      </c>
      <c r="L6" s="64">
        <f>K27</f>
        <v>24069</v>
      </c>
      <c r="M6" s="64">
        <f>L27</f>
        <v>21336</v>
      </c>
      <c r="N6" s="66">
        <f>M27</f>
        <v>18825</v>
      </c>
      <c r="O6" s="66">
        <f>N27</f>
        <v>16504</v>
      </c>
      <c r="P6" s="66">
        <f>O27</f>
        <v>14421</v>
      </c>
    </row>
    <row r="7" spans="2:17" s="59" customFormat="1" ht="22.5" customHeight="1" x14ac:dyDescent="0.4">
      <c r="B7" s="67"/>
      <c r="C7" s="58"/>
      <c r="D7" s="58"/>
      <c r="E7" s="58"/>
      <c r="F7" s="57"/>
      <c r="G7" s="58"/>
      <c r="H7" s="58"/>
      <c r="I7" s="58"/>
      <c r="J7" s="68"/>
      <c r="K7" s="58"/>
      <c r="L7" s="58"/>
      <c r="M7" s="58"/>
    </row>
    <row r="8" spans="2:17" s="59" customFormat="1" ht="22.5" customHeight="1" x14ac:dyDescent="0.4">
      <c r="B8" s="60"/>
      <c r="C8" s="61">
        <f ca="1">NOW()+30</f>
        <v>45135.48655173611</v>
      </c>
      <c r="D8" s="61">
        <f ca="1">C8+30</f>
        <v>45165.48655173611</v>
      </c>
      <c r="E8" s="61">
        <f t="shared" ref="E8:H8" ca="1" si="2">D8+30</f>
        <v>45195.48655173611</v>
      </c>
      <c r="F8" s="61">
        <f t="shared" ca="1" si="2"/>
        <v>45225.48655173611</v>
      </c>
      <c r="G8" s="61">
        <f t="shared" ca="1" si="2"/>
        <v>45255.48655173611</v>
      </c>
      <c r="H8" s="84">
        <f t="shared" ca="1" si="2"/>
        <v>45285.48655173611</v>
      </c>
      <c r="J8" s="62"/>
      <c r="K8" s="61">
        <f t="shared" ref="K8:N8" ca="1" si="3">C8</f>
        <v>45135.48655173611</v>
      </c>
      <c r="L8" s="61">
        <f t="shared" ca="1" si="3"/>
        <v>45165.48655173611</v>
      </c>
      <c r="M8" s="61">
        <f t="shared" ca="1" si="3"/>
        <v>45195.48655173611</v>
      </c>
      <c r="N8" s="61">
        <f t="shared" ca="1" si="3"/>
        <v>45225.48655173611</v>
      </c>
      <c r="O8" s="61">
        <f ca="1">G8</f>
        <v>45255.48655173611</v>
      </c>
      <c r="P8" s="84">
        <f ca="1">H8</f>
        <v>45285.48655173611</v>
      </c>
    </row>
    <row r="9" spans="2:17" s="59" customFormat="1" ht="22.5" customHeight="1" x14ac:dyDescent="0.4">
      <c r="B9" s="63" t="s">
        <v>46</v>
      </c>
      <c r="C9" s="69">
        <f>'資金繰り表データ入力（製造）'!E2</f>
        <v>7500</v>
      </c>
      <c r="D9" s="69">
        <f>'資金繰り表データ入力（製造）'!E3</f>
        <v>8000</v>
      </c>
      <c r="E9" s="69">
        <f>'資金繰り表データ入力（製造）'!E4</f>
        <v>8500</v>
      </c>
      <c r="F9" s="69">
        <f>'資金繰り表データ入力（製造）'!E5</f>
        <v>9000</v>
      </c>
      <c r="G9" s="69">
        <f>'資金繰り表データ入力（製造）'!E6</f>
        <v>9500</v>
      </c>
      <c r="H9" s="69">
        <f>'資金繰り表データ入力（製造）'!E7</f>
        <v>10000</v>
      </c>
      <c r="J9" s="63" t="str">
        <f t="shared" ref="J9:J10" si="4">B9</f>
        <v>売上</v>
      </c>
      <c r="K9" s="69">
        <f>C9*$P$1</f>
        <v>6000</v>
      </c>
      <c r="L9" s="69">
        <f t="shared" ref="K9:P10" si="5">D9*$P$1</f>
        <v>6400</v>
      </c>
      <c r="M9" s="69">
        <f t="shared" si="5"/>
        <v>6800</v>
      </c>
      <c r="N9" s="69">
        <f t="shared" si="5"/>
        <v>7200</v>
      </c>
      <c r="O9" s="69">
        <f t="shared" si="5"/>
        <v>7600</v>
      </c>
      <c r="P9" s="69">
        <f t="shared" si="5"/>
        <v>8000</v>
      </c>
    </row>
    <row r="10" spans="2:17" s="59" customFormat="1" ht="22.5" customHeight="1" x14ac:dyDescent="0.4">
      <c r="B10" s="90" t="s">
        <v>76</v>
      </c>
      <c r="C10" s="91">
        <f>C9*$E$33+IF($C$35=0,C9*$E$35,0)+IF($C$34=0,C9*$E$34,0)</f>
        <v>2250</v>
      </c>
      <c r="D10" s="91">
        <f>D9*$E$33+IF($C$34=1,$C$9*$E$34,0)+IF($C$35=1,$C$9*$E$35,0)+IF($C$34=0,$D$9*$E$34,0)+IF($C$35=0,$D$9*$E$35,0)</f>
        <v>7650</v>
      </c>
      <c r="E10" s="91">
        <f>E9*$E$33+IF($C$34=2,$C$9*$E$34,0)+IF($C$35=2,$C$9*$E$35,0)+IF($C$34=1,$D$9*$E$34,0)+IF($C$35=1,$D$9*$E$35,0)+IF($C$34=0,$E$9*$E$34,0)+IF($C$35=0,$E$9*$E$35,0)</f>
        <v>8150</v>
      </c>
      <c r="F10" s="91">
        <f>F9*$E$33+IF($C$34=3,$C$9*$E$34,0)+IF($C$35=3,$C$9*$E$35,0)+IF($C$34=2,$D$9*$E$34,0)+IF($C$35=2,$D$9*$E$35,0)+IF($C$34=1,$E$9*$E$34,0)+IF($C$35=1,$E$9*$E$35,0)+IF($C$34=0,$F$9*$E$34,0)+IF($C$35=0,$F$9*$E$35,0)</f>
        <v>8650</v>
      </c>
      <c r="G10" s="91">
        <f>G9*$E$33+IF($C$34=4,$C$9*$E$34,0)+IF($C$35=4,$C$9*$E$35,0)+IF($C$34=3,$D$9*$E$34,0)+IF($C$35=3,$D$9*$E$35,0)+IF($C$34=2,$E$9*$E$34,0)+IF($C$35=2,$E$9*$E$35,0)+IF($C$34=1,$F$9*$E$34,0)+IF($C$35=1,$F$9*$E$35,0)+IF($C$34=0,$G$9*$E$34,0)+IF($C$35=0,$G$9*$E$35,0)</f>
        <v>9150</v>
      </c>
      <c r="H10" s="91">
        <f>H9*$E$33+IF($C$34=5,$C$9*$E$34,0)+IF($C$35=5,$C$9*$E$35,0)+IF($C$34=4,$D$9*$E$34,0)+IF($C$35=4,$D$9*$E$35,0)+IF($C$34=3,$E$9*$E$34,0)+IF($C$35=3,$E$9*$E$35,0)+IF($C$34=2,$F$9*$E$34,0)+IF($C$35=2,$F$9*$E$35,0)+IF($C$34=1,$G$9*$E$34,0)+IF($C$35=1,$G$9*$E$35,0)+IF($C$34=0,$H$9*$E$34,0)+IF($C$35=0,$H$9*$E$35,0)</f>
        <v>9650</v>
      </c>
      <c r="J10" s="90" t="str">
        <f t="shared" si="4"/>
        <v>入金</v>
      </c>
      <c r="K10" s="91">
        <f t="shared" si="5"/>
        <v>1800</v>
      </c>
      <c r="L10" s="91">
        <f t="shared" si="5"/>
        <v>6120</v>
      </c>
      <c r="M10" s="91">
        <f t="shared" si="5"/>
        <v>6520</v>
      </c>
      <c r="N10" s="91">
        <f t="shared" si="5"/>
        <v>6920</v>
      </c>
      <c r="O10" s="91">
        <f t="shared" si="5"/>
        <v>7320</v>
      </c>
      <c r="P10" s="91">
        <f t="shared" si="5"/>
        <v>7720</v>
      </c>
    </row>
    <row r="11" spans="2:17" s="59" customFormat="1" ht="22.5" customHeight="1" x14ac:dyDescent="0.4">
      <c r="B11" s="67"/>
      <c r="C11" s="72"/>
      <c r="D11" s="72"/>
      <c r="E11" s="72"/>
      <c r="F11" s="72"/>
      <c r="G11" s="72"/>
      <c r="H11" s="72"/>
      <c r="J11" s="67"/>
    </row>
    <row r="12" spans="2:17" s="59" customFormat="1" ht="22.5" customHeight="1" x14ac:dyDescent="0.4">
      <c r="B12" s="60"/>
      <c r="C12" s="61">
        <f ca="1">NOW()+30</f>
        <v>45135.48655173611</v>
      </c>
      <c r="D12" s="61">
        <f ca="1">C12+30</f>
        <v>45165.48655173611</v>
      </c>
      <c r="E12" s="61">
        <f t="shared" ref="E12:H12" ca="1" si="6">D12+30</f>
        <v>45195.48655173611</v>
      </c>
      <c r="F12" s="61">
        <f t="shared" ca="1" si="6"/>
        <v>45225.48655173611</v>
      </c>
      <c r="G12" s="61">
        <f t="shared" ca="1" si="6"/>
        <v>45255.48655173611</v>
      </c>
      <c r="H12" s="84">
        <f t="shared" ca="1" si="6"/>
        <v>45285.48655173611</v>
      </c>
      <c r="J12" s="62"/>
      <c r="K12" s="61">
        <f t="shared" ref="K12:N12" ca="1" si="7">C12</f>
        <v>45135.48655173611</v>
      </c>
      <c r="L12" s="61">
        <f t="shared" ca="1" si="7"/>
        <v>45165.48655173611</v>
      </c>
      <c r="M12" s="61">
        <f t="shared" ca="1" si="7"/>
        <v>45195.48655173611</v>
      </c>
      <c r="N12" s="61">
        <f t="shared" ca="1" si="7"/>
        <v>45225.48655173611</v>
      </c>
      <c r="O12" s="61">
        <f ca="1">G12</f>
        <v>45255.48655173611</v>
      </c>
      <c r="P12" s="84">
        <f ca="1">H12</f>
        <v>45285.48655173611</v>
      </c>
    </row>
    <row r="13" spans="2:17" s="59" customFormat="1" ht="22.5" customHeight="1" x14ac:dyDescent="0.4">
      <c r="B13" s="63" t="s">
        <v>54</v>
      </c>
      <c r="C13" s="69">
        <f>'資金繰り表データ入力（製造）'!H2</f>
        <v>3200</v>
      </c>
      <c r="D13" s="69">
        <f>'資金繰り表データ入力（製造）'!H3</f>
        <v>3300</v>
      </c>
      <c r="E13" s="69">
        <f>'資金繰り表データ入力（製造）'!H4</f>
        <v>3500</v>
      </c>
      <c r="F13" s="69">
        <f>'資金繰り表データ入力（製造）'!H5</f>
        <v>3700</v>
      </c>
      <c r="G13" s="69">
        <f>'資金繰り表データ入力（製造）'!H6</f>
        <v>3800</v>
      </c>
      <c r="H13" s="69">
        <f>'資金繰り表データ入力（製造）'!H7</f>
        <v>4000</v>
      </c>
      <c r="J13" s="63" t="str">
        <f t="shared" ref="J13:K27" si="8">B13</f>
        <v>仕入</v>
      </c>
      <c r="K13" s="73">
        <f>C13*$P$1</f>
        <v>2560</v>
      </c>
      <c r="L13" s="73">
        <f t="shared" ref="L13:P14" si="9">D13*$P$1</f>
        <v>2640</v>
      </c>
      <c r="M13" s="73">
        <f t="shared" si="9"/>
        <v>2800</v>
      </c>
      <c r="N13" s="73">
        <f t="shared" si="9"/>
        <v>2960</v>
      </c>
      <c r="O13" s="73">
        <f t="shared" si="9"/>
        <v>3040</v>
      </c>
      <c r="P13" s="73">
        <f t="shared" si="9"/>
        <v>3200</v>
      </c>
    </row>
    <row r="14" spans="2:17" s="59" customFormat="1" ht="22.5" customHeight="1" x14ac:dyDescent="0.4">
      <c r="B14" s="90" t="s">
        <v>77</v>
      </c>
      <c r="C14" s="91">
        <f>C13*J33+IF(H35=0,C13*J35,0)+IF(H34=0,C13*J34,0)</f>
        <v>1920</v>
      </c>
      <c r="D14" s="91">
        <f>D13*J33+IF(H34=1,C13*J34,0)+IF(H35=1,C13*J35,0)+IF(H34=0,D13*J34,0)+IF(H35=0,D13*J35,0)</f>
        <v>3260</v>
      </c>
      <c r="E14" s="91">
        <f>E13*J33+IF(H34=2,C13*J34,0)+IF(H35=2,C13*J35,0)+IF(H34=1,D13*J34,0)+IF(H35=1,D13*J35,0)+IF(H34=0,E13*J34,0)+IF(H35=0,E13*J35,0)</f>
        <v>3420</v>
      </c>
      <c r="F14" s="91">
        <f>F13*J33+IF(H34=3,C13*J34,0)+IF(H35=3,C13*J35,0)+IF(H34=2,D13*J34,0)+IF(H35=2,D13*J35,0)+IF(H34=1,E13*J34,0)+IF(H35=1,E13*J35,0)+IF(H34=0,F13*J34,0)+IF(H35=0,F13*J35,0)</f>
        <v>3620</v>
      </c>
      <c r="G14" s="91">
        <f>G13*J33+IF(H34=4,C13*J34,0)+IF(H35=4,C13*J35,0)+IF(H34=3,D13*J34,0)+IF(H35=3,D13*J35,0)+IF(H34=2,E13*J34,0)+IF(H35=2,E13*J35,0)+IF(H34=1,F13*J34,0)+IF(H35=1,F13*J35,0)+IF(H34=0,G13*J34,0)+IF(H35=0,G13*J35,0)</f>
        <v>3760</v>
      </c>
      <c r="H14" s="91">
        <f>H13*J33+IF(H34=5,C13*J34,0)+IF(H35=5,C13*J35,0)+IF(H34=4,D13*J34,0)+IF(H35=4,D13*J35,0)+IF(H34=3,E13*J34,0)+IF(H35=3,E13*J35,0)+IF(H34=2,F13*J34,0)+IF(H35=2,F13*J35,0)+IF(H34=1,G13*J34,0)+IF(H35=1,G13*J35,0)+IF(H34=0,H13*J34,0)+IF(H35=0,H13*J35,0)</f>
        <v>3920</v>
      </c>
      <c r="J14" s="90" t="str">
        <f t="shared" si="8"/>
        <v>仕入支払</v>
      </c>
      <c r="K14" s="92">
        <f>C14*$P$1</f>
        <v>1536</v>
      </c>
      <c r="L14" s="92">
        <f t="shared" si="9"/>
        <v>2608</v>
      </c>
      <c r="M14" s="92">
        <f t="shared" si="9"/>
        <v>2736</v>
      </c>
      <c r="N14" s="92">
        <f t="shared" si="9"/>
        <v>2896</v>
      </c>
      <c r="O14" s="92">
        <f t="shared" si="9"/>
        <v>3008</v>
      </c>
      <c r="P14" s="92">
        <f t="shared" si="9"/>
        <v>3136</v>
      </c>
    </row>
    <row r="15" spans="2:17" s="59" customFormat="1" ht="22.5" customHeight="1" x14ac:dyDescent="0.4">
      <c r="B15" s="67"/>
      <c r="C15" s="72"/>
      <c r="D15" s="72"/>
      <c r="E15" s="72"/>
      <c r="F15" s="72"/>
      <c r="G15" s="72"/>
      <c r="H15" s="72"/>
      <c r="J15" s="67"/>
      <c r="K15" s="75"/>
      <c r="L15" s="75"/>
      <c r="M15" s="75"/>
      <c r="N15" s="75"/>
      <c r="O15" s="75"/>
      <c r="P15" s="75"/>
    </row>
    <row r="16" spans="2:17" s="59" customFormat="1" ht="22.5" customHeight="1" x14ac:dyDescent="0.4">
      <c r="B16" s="63" t="s">
        <v>48</v>
      </c>
      <c r="C16" s="69">
        <f>'資金繰り表データ入力（製造）'!K2</f>
        <v>0</v>
      </c>
      <c r="D16" s="69">
        <f>'資金繰り表データ入力（製造）'!K3</f>
        <v>0</v>
      </c>
      <c r="E16" s="69">
        <f>'資金繰り表データ入力（製造）'!K4</f>
        <v>0</v>
      </c>
      <c r="F16" s="69">
        <f>'資金繰り表データ入力（製造）'!K5</f>
        <v>0</v>
      </c>
      <c r="G16" s="69">
        <f>'資金繰り表データ入力（製造）'!K6</f>
        <v>0</v>
      </c>
      <c r="H16" s="69">
        <f>'資金繰り表データ入力（製造）'!K7</f>
        <v>0</v>
      </c>
      <c r="J16" s="63" t="s">
        <v>48</v>
      </c>
      <c r="K16" s="73">
        <f>C16*$P$1</f>
        <v>0</v>
      </c>
      <c r="L16" s="73">
        <f t="shared" ref="L16:P16" si="10">D16*$P$1</f>
        <v>0</v>
      </c>
      <c r="M16" s="73">
        <f t="shared" si="10"/>
        <v>0</v>
      </c>
      <c r="N16" s="73">
        <f t="shared" si="10"/>
        <v>0</v>
      </c>
      <c r="O16" s="73">
        <f t="shared" si="10"/>
        <v>0</v>
      </c>
      <c r="P16" s="73">
        <f t="shared" si="10"/>
        <v>0</v>
      </c>
    </row>
    <row r="17" spans="2:16" s="59" customFormat="1" ht="22.5" customHeight="1" x14ac:dyDescent="0.4">
      <c r="B17" s="63" t="s">
        <v>50</v>
      </c>
      <c r="C17" s="69">
        <f>'資金繰り表データ入力（製造）'!M2</f>
        <v>2200</v>
      </c>
      <c r="D17" s="69">
        <f>'資金繰り表データ入力（製造）'!M3</f>
        <v>2250</v>
      </c>
      <c r="E17" s="69">
        <f>'資金繰り表データ入力（製造）'!M4</f>
        <v>2300</v>
      </c>
      <c r="F17" s="69">
        <f>'資金繰り表データ入力（製造）'!M5</f>
        <v>2350</v>
      </c>
      <c r="G17" s="69">
        <f>'資金繰り表データ入力（製造）'!M6</f>
        <v>2400</v>
      </c>
      <c r="H17" s="69">
        <f>'資金繰り表データ入力（製造）'!M7</f>
        <v>2500</v>
      </c>
      <c r="J17" s="63" t="str">
        <f>B17</f>
        <v>労務費</v>
      </c>
      <c r="K17" s="73">
        <f>C17</f>
        <v>2200</v>
      </c>
      <c r="L17" s="73">
        <f t="shared" ref="L17:P22" si="11">D17</f>
        <v>2250</v>
      </c>
      <c r="M17" s="73">
        <f t="shared" si="11"/>
        <v>2300</v>
      </c>
      <c r="N17" s="73">
        <f t="shared" si="11"/>
        <v>2350</v>
      </c>
      <c r="O17" s="73">
        <f t="shared" si="11"/>
        <v>2400</v>
      </c>
      <c r="P17" s="73">
        <f t="shared" si="11"/>
        <v>2500</v>
      </c>
    </row>
    <row r="18" spans="2:16" s="59" customFormat="1" ht="22.5" customHeight="1" x14ac:dyDescent="0.4">
      <c r="B18" s="63" t="s">
        <v>78</v>
      </c>
      <c r="C18" s="69">
        <f>'資金繰り表データ入力（製造）'!E8</f>
        <v>1200</v>
      </c>
      <c r="D18" s="69">
        <f>C18</f>
        <v>1200</v>
      </c>
      <c r="E18" s="69">
        <f>D18</f>
        <v>1200</v>
      </c>
      <c r="F18" s="69">
        <f t="shared" ref="F18:H18" si="12">E18</f>
        <v>1200</v>
      </c>
      <c r="G18" s="69">
        <f t="shared" si="12"/>
        <v>1200</v>
      </c>
      <c r="H18" s="69">
        <f t="shared" si="12"/>
        <v>1200</v>
      </c>
      <c r="J18" s="63" t="str">
        <f t="shared" si="8"/>
        <v>人件費</v>
      </c>
      <c r="K18" s="73">
        <f>C18</f>
        <v>1200</v>
      </c>
      <c r="L18" s="73">
        <f>D18</f>
        <v>1200</v>
      </c>
      <c r="M18" s="73">
        <f t="shared" si="11"/>
        <v>1200</v>
      </c>
      <c r="N18" s="73">
        <f t="shared" si="11"/>
        <v>1200</v>
      </c>
      <c r="O18" s="73">
        <f t="shared" si="11"/>
        <v>1200</v>
      </c>
      <c r="P18" s="73">
        <f t="shared" si="11"/>
        <v>1200</v>
      </c>
    </row>
    <row r="19" spans="2:16" s="59" customFormat="1" ht="22.5" customHeight="1" x14ac:dyDescent="0.4">
      <c r="B19" s="63" t="s">
        <v>79</v>
      </c>
      <c r="C19" s="69">
        <f>'資金繰り表データ入力（製造）'!E9</f>
        <v>2200</v>
      </c>
      <c r="D19" s="69">
        <f t="shared" ref="D19:H22" si="13">C19</f>
        <v>2200</v>
      </c>
      <c r="E19" s="69">
        <f t="shared" si="13"/>
        <v>2200</v>
      </c>
      <c r="F19" s="69">
        <f t="shared" si="13"/>
        <v>2200</v>
      </c>
      <c r="G19" s="69">
        <f t="shared" si="13"/>
        <v>2200</v>
      </c>
      <c r="H19" s="69">
        <f t="shared" si="13"/>
        <v>2200</v>
      </c>
      <c r="J19" s="63" t="str">
        <f t="shared" si="8"/>
        <v>営業経費</v>
      </c>
      <c r="K19" s="73">
        <f>C19</f>
        <v>2200</v>
      </c>
      <c r="L19" s="73">
        <f t="shared" ref="L19:L22" si="14">D19</f>
        <v>2200</v>
      </c>
      <c r="M19" s="73">
        <f t="shared" si="11"/>
        <v>2200</v>
      </c>
      <c r="N19" s="73">
        <f t="shared" si="11"/>
        <v>2200</v>
      </c>
      <c r="O19" s="73">
        <f t="shared" si="11"/>
        <v>2200</v>
      </c>
      <c r="P19" s="73">
        <f t="shared" si="11"/>
        <v>2200</v>
      </c>
    </row>
    <row r="20" spans="2:16" s="59" customFormat="1" ht="22.5" customHeight="1" x14ac:dyDescent="0.4">
      <c r="B20" s="63" t="s">
        <v>51</v>
      </c>
      <c r="C20" s="69">
        <f>'資金繰り表データ入力（製造）'!E10</f>
        <v>225</v>
      </c>
      <c r="D20" s="69">
        <f t="shared" si="13"/>
        <v>225</v>
      </c>
      <c r="E20" s="69">
        <f t="shared" si="13"/>
        <v>225</v>
      </c>
      <c r="F20" s="69">
        <f t="shared" si="13"/>
        <v>225</v>
      </c>
      <c r="G20" s="69">
        <f t="shared" si="13"/>
        <v>225</v>
      </c>
      <c r="H20" s="69">
        <f t="shared" si="13"/>
        <v>225</v>
      </c>
      <c r="J20" s="63" t="str">
        <f t="shared" si="8"/>
        <v>支払利息</v>
      </c>
      <c r="K20" s="73">
        <f t="shared" si="8"/>
        <v>225</v>
      </c>
      <c r="L20" s="73">
        <f t="shared" si="14"/>
        <v>225</v>
      </c>
      <c r="M20" s="73">
        <f t="shared" si="11"/>
        <v>225</v>
      </c>
      <c r="N20" s="73">
        <f t="shared" si="11"/>
        <v>225</v>
      </c>
      <c r="O20" s="73">
        <f t="shared" si="11"/>
        <v>225</v>
      </c>
      <c r="P20" s="73">
        <f t="shared" si="11"/>
        <v>225</v>
      </c>
    </row>
    <row r="21" spans="2:16" s="59" customFormat="1" ht="22.5" customHeight="1" x14ac:dyDescent="0.4">
      <c r="B21" s="63" t="s">
        <v>81</v>
      </c>
      <c r="C21" s="69">
        <f>'資金繰り表データ入力（製造）'!E12</f>
        <v>120</v>
      </c>
      <c r="D21" s="69">
        <f t="shared" si="13"/>
        <v>120</v>
      </c>
      <c r="E21" s="69">
        <f t="shared" si="13"/>
        <v>120</v>
      </c>
      <c r="F21" s="69">
        <f t="shared" si="13"/>
        <v>120</v>
      </c>
      <c r="G21" s="69">
        <f t="shared" si="13"/>
        <v>120</v>
      </c>
      <c r="H21" s="69">
        <f t="shared" si="13"/>
        <v>120</v>
      </c>
      <c r="J21" s="63" t="str">
        <f t="shared" si="8"/>
        <v>税金・社会保険料</v>
      </c>
      <c r="K21" s="73">
        <f t="shared" si="8"/>
        <v>120</v>
      </c>
      <c r="L21" s="73">
        <f t="shared" si="14"/>
        <v>120</v>
      </c>
      <c r="M21" s="73">
        <f t="shared" si="11"/>
        <v>120</v>
      </c>
      <c r="N21" s="73">
        <f t="shared" si="11"/>
        <v>120</v>
      </c>
      <c r="O21" s="73">
        <f t="shared" si="11"/>
        <v>120</v>
      </c>
      <c r="P21" s="73">
        <f t="shared" si="11"/>
        <v>120</v>
      </c>
    </row>
    <row r="22" spans="2:16" s="59" customFormat="1" ht="22.5" customHeight="1" x14ac:dyDescent="0.4">
      <c r="B22" s="63" t="s">
        <v>82</v>
      </c>
      <c r="C22" s="69">
        <f>'資金繰り表データ入力（製造）'!E13</f>
        <v>0</v>
      </c>
      <c r="D22" s="69">
        <f t="shared" si="13"/>
        <v>0</v>
      </c>
      <c r="E22" s="69">
        <f t="shared" si="13"/>
        <v>0</v>
      </c>
      <c r="F22" s="69">
        <f t="shared" si="13"/>
        <v>0</v>
      </c>
      <c r="G22" s="69">
        <f t="shared" si="13"/>
        <v>0</v>
      </c>
      <c r="H22" s="69">
        <f t="shared" si="13"/>
        <v>0</v>
      </c>
      <c r="J22" s="63" t="str">
        <f t="shared" si="8"/>
        <v>その他支払経費</v>
      </c>
      <c r="K22" s="73">
        <f t="shared" si="8"/>
        <v>0</v>
      </c>
      <c r="L22" s="73">
        <f t="shared" si="14"/>
        <v>0</v>
      </c>
      <c r="M22" s="73">
        <f t="shared" si="11"/>
        <v>0</v>
      </c>
      <c r="N22" s="73">
        <f t="shared" si="11"/>
        <v>0</v>
      </c>
      <c r="O22" s="73">
        <f t="shared" si="11"/>
        <v>0</v>
      </c>
      <c r="P22" s="73">
        <f t="shared" si="11"/>
        <v>0</v>
      </c>
    </row>
    <row r="23" spans="2:16" s="59" customFormat="1" ht="22.5" customHeight="1" x14ac:dyDescent="0.4">
      <c r="B23" s="90" t="s">
        <v>83</v>
      </c>
      <c r="C23" s="91">
        <f>C14+SUM(C16:C22)</f>
        <v>7865</v>
      </c>
      <c r="D23" s="91">
        <f t="shared" ref="D23:H23" si="15">D14+SUM(D16:D22)</f>
        <v>9255</v>
      </c>
      <c r="E23" s="91">
        <f t="shared" si="15"/>
        <v>9465</v>
      </c>
      <c r="F23" s="91">
        <f t="shared" si="15"/>
        <v>9715</v>
      </c>
      <c r="G23" s="91">
        <f t="shared" si="15"/>
        <v>9905</v>
      </c>
      <c r="H23" s="91">
        <f t="shared" si="15"/>
        <v>10165</v>
      </c>
      <c r="J23" s="90" t="str">
        <f t="shared" si="8"/>
        <v>支出合計</v>
      </c>
      <c r="K23" s="92">
        <f t="shared" ref="K23:P23" si="16">K14+SUM(K16:K22)</f>
        <v>7481</v>
      </c>
      <c r="L23" s="92">
        <f t="shared" si="16"/>
        <v>8603</v>
      </c>
      <c r="M23" s="92">
        <f t="shared" si="16"/>
        <v>8781</v>
      </c>
      <c r="N23" s="92">
        <f t="shared" si="16"/>
        <v>8991</v>
      </c>
      <c r="O23" s="92">
        <f t="shared" si="16"/>
        <v>9153</v>
      </c>
      <c r="P23" s="92">
        <f t="shared" si="16"/>
        <v>9381</v>
      </c>
    </row>
    <row r="24" spans="2:16" s="59" customFormat="1" ht="22.5" customHeight="1" x14ac:dyDescent="0.4">
      <c r="B24" s="90" t="s">
        <v>84</v>
      </c>
      <c r="C24" s="93">
        <f>C10-C23</f>
        <v>-5615</v>
      </c>
      <c r="D24" s="93">
        <f t="shared" ref="D24:H24" si="17">D10-D23</f>
        <v>-1605</v>
      </c>
      <c r="E24" s="93">
        <f t="shared" si="17"/>
        <v>-1315</v>
      </c>
      <c r="F24" s="93">
        <f t="shared" si="17"/>
        <v>-1065</v>
      </c>
      <c r="G24" s="93">
        <f t="shared" si="17"/>
        <v>-755</v>
      </c>
      <c r="H24" s="93">
        <f t="shared" si="17"/>
        <v>-515</v>
      </c>
      <c r="J24" s="90" t="str">
        <f>B24</f>
        <v>当月収支</v>
      </c>
      <c r="K24" s="93">
        <f t="shared" ref="K24:P24" si="18">K10-K23</f>
        <v>-5681</v>
      </c>
      <c r="L24" s="93">
        <f t="shared" si="18"/>
        <v>-2483</v>
      </c>
      <c r="M24" s="93">
        <f t="shared" si="18"/>
        <v>-2261</v>
      </c>
      <c r="N24" s="93">
        <f t="shared" si="18"/>
        <v>-2071</v>
      </c>
      <c r="O24" s="93">
        <f t="shared" si="18"/>
        <v>-1833</v>
      </c>
      <c r="P24" s="93">
        <f t="shared" si="18"/>
        <v>-1661</v>
      </c>
    </row>
    <row r="25" spans="2:16" s="59" customFormat="1" ht="22.5" customHeight="1" x14ac:dyDescent="0.4">
      <c r="B25" s="63" t="s">
        <v>80</v>
      </c>
      <c r="C25" s="69">
        <f>'資金繰り表データ入力（製造）'!E11</f>
        <v>250</v>
      </c>
      <c r="D25" s="69">
        <f>C25</f>
        <v>250</v>
      </c>
      <c r="E25" s="69">
        <f>D25</f>
        <v>250</v>
      </c>
      <c r="F25" s="69">
        <f>E25</f>
        <v>250</v>
      </c>
      <c r="G25" s="69">
        <f>F25</f>
        <v>250</v>
      </c>
      <c r="H25" s="69">
        <f>G25</f>
        <v>250</v>
      </c>
      <c r="J25" s="63" t="str">
        <f>B25</f>
        <v>借入金返済</v>
      </c>
      <c r="K25" s="73">
        <f t="shared" ref="K25:P25" si="19">C25</f>
        <v>250</v>
      </c>
      <c r="L25" s="73">
        <f t="shared" si="19"/>
        <v>250</v>
      </c>
      <c r="M25" s="73">
        <f t="shared" si="19"/>
        <v>250</v>
      </c>
      <c r="N25" s="73">
        <f t="shared" si="19"/>
        <v>250</v>
      </c>
      <c r="O25" s="73">
        <f t="shared" si="19"/>
        <v>250</v>
      </c>
      <c r="P25" s="73">
        <f t="shared" si="19"/>
        <v>250</v>
      </c>
    </row>
    <row r="26" spans="2:16" s="59" customFormat="1" ht="22.5" customHeight="1" x14ac:dyDescent="0.4">
      <c r="B26" s="63" t="s">
        <v>95</v>
      </c>
      <c r="C26" s="69"/>
      <c r="D26" s="69"/>
      <c r="E26" s="69"/>
      <c r="F26" s="69"/>
      <c r="G26" s="69"/>
      <c r="H26" s="69"/>
      <c r="J26" s="63" t="str">
        <f>B26</f>
        <v>借入金調達</v>
      </c>
      <c r="K26" s="73"/>
      <c r="L26" s="73"/>
      <c r="M26" s="73"/>
      <c r="N26" s="73"/>
      <c r="O26" s="73"/>
      <c r="P26" s="73"/>
    </row>
    <row r="27" spans="2:16" s="59" customFormat="1" ht="22.5" customHeight="1" x14ac:dyDescent="0.4">
      <c r="B27" s="77" t="s">
        <v>85</v>
      </c>
      <c r="C27" s="78">
        <f>C6+C24-C25+C26</f>
        <v>24135</v>
      </c>
      <c r="D27" s="78">
        <f t="shared" ref="D27:H27" si="20">D6+D24-D25+D26</f>
        <v>22280</v>
      </c>
      <c r="E27" s="78">
        <f t="shared" si="20"/>
        <v>20715</v>
      </c>
      <c r="F27" s="78">
        <f t="shared" si="20"/>
        <v>19400</v>
      </c>
      <c r="G27" s="78">
        <f t="shared" si="20"/>
        <v>18395</v>
      </c>
      <c r="H27" s="78">
        <f t="shared" si="20"/>
        <v>17630</v>
      </c>
      <c r="J27" s="77" t="str">
        <f t="shared" si="8"/>
        <v>月末現金残高</v>
      </c>
      <c r="K27" s="78">
        <f>K6+K24-K25+K26</f>
        <v>24069</v>
      </c>
      <c r="L27" s="78">
        <f t="shared" ref="L27:P27" si="21">L6+L24-L25+L26</f>
        <v>21336</v>
      </c>
      <c r="M27" s="78">
        <f t="shared" si="21"/>
        <v>18825</v>
      </c>
      <c r="N27" s="78">
        <f t="shared" si="21"/>
        <v>16504</v>
      </c>
      <c r="O27" s="78">
        <f t="shared" si="21"/>
        <v>14421</v>
      </c>
      <c r="P27" s="78">
        <f t="shared" si="21"/>
        <v>12510</v>
      </c>
    </row>
    <row r="32" spans="2:16" x14ac:dyDescent="0.4">
      <c r="B32" s="49" t="s">
        <v>46</v>
      </c>
      <c r="G32" s="49" t="s">
        <v>54</v>
      </c>
      <c r="H32" s="46"/>
      <c r="I32" s="46"/>
      <c r="J32" s="46"/>
    </row>
    <row r="33" spans="2:10" x14ac:dyDescent="0.4">
      <c r="B33" s="79" t="s">
        <v>86</v>
      </c>
      <c r="C33" s="81"/>
      <c r="D33" s="82"/>
      <c r="E33" s="80">
        <f>'資金繰り表データ入力（製造）'!E15</f>
        <v>0.3</v>
      </c>
      <c r="G33" s="83" t="s">
        <v>86</v>
      </c>
      <c r="H33" s="246"/>
      <c r="I33" s="247"/>
      <c r="J33" s="80">
        <f>'資金繰り表データ入力（製造）'!E18</f>
        <v>0.6</v>
      </c>
    </row>
    <row r="34" spans="2:10" x14ac:dyDescent="0.4">
      <c r="B34" s="79" t="s">
        <v>87</v>
      </c>
      <c r="C34" s="83">
        <f>'資金繰り表データ入力（製造）'!G16</f>
        <v>1</v>
      </c>
      <c r="D34" s="83" t="s">
        <v>88</v>
      </c>
      <c r="E34" s="80">
        <f>'資金繰り表データ入力（製造）'!E16</f>
        <v>0.7</v>
      </c>
      <c r="G34" s="83" t="s">
        <v>89</v>
      </c>
      <c r="H34" s="83">
        <f>'資金繰り表データ入力（製造）'!G19</f>
        <v>1</v>
      </c>
      <c r="I34" s="83" t="s">
        <v>88</v>
      </c>
      <c r="J34" s="80">
        <f>'資金繰り表データ入力（製造）'!E19</f>
        <v>0.4</v>
      </c>
    </row>
    <row r="35" spans="2:10" x14ac:dyDescent="0.4">
      <c r="B35" s="79" t="s">
        <v>90</v>
      </c>
      <c r="C35" s="83">
        <f>'資金繰り表データ入力（製造）'!G17</f>
        <v>3</v>
      </c>
      <c r="D35" s="83" t="s">
        <v>88</v>
      </c>
      <c r="E35" s="80">
        <f>'資金繰り表データ入力（製造）'!E17</f>
        <v>0</v>
      </c>
      <c r="G35" s="83" t="s">
        <v>91</v>
      </c>
      <c r="H35" s="83">
        <f>'資金繰り表データ入力（製造）'!G20</f>
        <v>0</v>
      </c>
      <c r="I35" s="83" t="s">
        <v>88</v>
      </c>
      <c r="J35" s="80">
        <f>'資金繰り表データ入力（製造）'!E20</f>
        <v>0</v>
      </c>
    </row>
    <row r="37" spans="2:10" x14ac:dyDescent="0.4">
      <c r="B37" s="49" t="s">
        <v>97</v>
      </c>
      <c r="C37" t="s">
        <v>98</v>
      </c>
    </row>
    <row r="38" spans="2:10" x14ac:dyDescent="0.4">
      <c r="B38" s="49"/>
      <c r="C38" t="s">
        <v>99</v>
      </c>
    </row>
  </sheetData>
  <mergeCells count="4">
    <mergeCell ref="C1:N1"/>
    <mergeCell ref="B4:E4"/>
    <mergeCell ref="J4:M4"/>
    <mergeCell ref="H33:I33"/>
  </mergeCells>
  <phoneticPr fontId="3"/>
  <pageMargins left="0.7" right="0.7" top="0.75" bottom="0.75" header="0.3" footer="0.3"/>
  <pageSetup paperSize="8" scale="97"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9943B9-75AA-453A-959D-65C5A88E96DD}">
  <sheetPr>
    <pageSetUpPr fitToPage="1"/>
  </sheetPr>
  <dimension ref="A1:Q40"/>
  <sheetViews>
    <sheetView showGridLines="0" view="pageBreakPreview" topLeftCell="A16" zoomScale="30" zoomScaleNormal="50" zoomScaleSheetLayoutView="30" workbookViewId="0">
      <selection activeCell="A2" sqref="A2:A4"/>
    </sheetView>
  </sheetViews>
  <sheetFormatPr defaultRowHeight="18.75" x14ac:dyDescent="0.4"/>
  <cols>
    <col min="1" max="1" width="32.375" customWidth="1"/>
    <col min="2" max="7" width="32.75" customWidth="1"/>
    <col min="8" max="10" width="15" customWidth="1"/>
    <col min="11" max="17" width="32.625" customWidth="1"/>
    <col min="18" max="19" width="11.125" customWidth="1"/>
  </cols>
  <sheetData>
    <row r="1" spans="1:17" ht="14.25" customHeight="1" x14ac:dyDescent="0.4">
      <c r="H1" s="36"/>
      <c r="I1" s="36"/>
      <c r="J1" s="36"/>
    </row>
    <row r="2" spans="1:17" ht="45" customHeight="1" x14ac:dyDescent="0.4">
      <c r="A2" s="251" t="s">
        <v>0</v>
      </c>
      <c r="B2" s="252" t="e">
        <f>#REF!</f>
        <v>#REF!</v>
      </c>
      <c r="C2" s="253"/>
      <c r="D2" s="43" t="s">
        <v>1</v>
      </c>
      <c r="E2" s="43" t="e">
        <f>#REF!</f>
        <v>#REF!</v>
      </c>
      <c r="F2" s="43" t="s">
        <v>2</v>
      </c>
      <c r="G2" s="1" t="e">
        <f>#REF!</f>
        <v>#REF!</v>
      </c>
      <c r="K2" s="258" t="s">
        <v>26</v>
      </c>
      <c r="L2" s="259"/>
      <c r="M2" s="259"/>
      <c r="N2" s="259"/>
      <c r="O2" s="259"/>
      <c r="P2" s="259"/>
      <c r="Q2" s="260"/>
    </row>
    <row r="3" spans="1:17" ht="45" customHeight="1" x14ac:dyDescent="0.4">
      <c r="A3" s="251"/>
      <c r="B3" s="254"/>
      <c r="C3" s="255"/>
      <c r="D3" s="43" t="s">
        <v>3</v>
      </c>
      <c r="E3" s="1" t="s">
        <v>4</v>
      </c>
      <c r="F3" s="43" t="s">
        <v>5</v>
      </c>
      <c r="G3" s="1" t="e">
        <f>#REF!</f>
        <v>#REF!</v>
      </c>
      <c r="K3" s="261"/>
      <c r="L3" s="262"/>
      <c r="M3" s="262"/>
      <c r="N3" s="262"/>
      <c r="O3" s="262"/>
      <c r="P3" s="262"/>
      <c r="Q3" s="263"/>
    </row>
    <row r="4" spans="1:17" ht="45" customHeight="1" x14ac:dyDescent="0.4">
      <c r="A4" s="251"/>
      <c r="B4" s="256"/>
      <c r="C4" s="257"/>
      <c r="D4" s="43" t="s">
        <v>6</v>
      </c>
      <c r="E4" s="1" t="e">
        <f>#REF!</f>
        <v>#REF!</v>
      </c>
      <c r="F4" s="43" t="s">
        <v>7</v>
      </c>
      <c r="G4" s="43" t="e">
        <f>IF(OR(#REF!="□有　□無",#REF!=""),"",IF(#REF!="■有　□無","有", IF(#REF!="□有　■無","無")))</f>
        <v>#REF!</v>
      </c>
      <c r="K4" s="261"/>
      <c r="L4" s="262"/>
      <c r="M4" s="262"/>
      <c r="N4" s="262"/>
      <c r="O4" s="262"/>
      <c r="P4" s="262"/>
      <c r="Q4" s="263"/>
    </row>
    <row r="5" spans="1:17" ht="45" customHeight="1" x14ac:dyDescent="0.4">
      <c r="A5" s="2" t="s">
        <v>8</v>
      </c>
      <c r="B5" s="251"/>
      <c r="C5" s="251"/>
      <c r="D5" s="251"/>
      <c r="E5" s="251"/>
      <c r="F5" s="251"/>
      <c r="G5" s="251"/>
      <c r="K5" s="261"/>
      <c r="L5" s="262"/>
      <c r="M5" s="262"/>
      <c r="N5" s="262"/>
      <c r="O5" s="262"/>
      <c r="P5" s="262"/>
      <c r="Q5" s="263"/>
    </row>
    <row r="6" spans="1:17" ht="45" customHeight="1" x14ac:dyDescent="0.4">
      <c r="A6" s="251" t="s">
        <v>9</v>
      </c>
      <c r="B6" s="251" t="e">
        <f>#REF!</f>
        <v>#REF!</v>
      </c>
      <c r="C6" s="251"/>
      <c r="D6" s="251"/>
      <c r="E6" s="251"/>
      <c r="F6" s="251"/>
      <c r="G6" s="251"/>
      <c r="K6" s="261"/>
      <c r="L6" s="262"/>
      <c r="M6" s="262"/>
      <c r="N6" s="262"/>
      <c r="O6" s="262"/>
      <c r="P6" s="262"/>
      <c r="Q6" s="263"/>
    </row>
    <row r="7" spans="1:17" ht="45" customHeight="1" x14ac:dyDescent="0.4">
      <c r="A7" s="251"/>
      <c r="B7" s="251"/>
      <c r="C7" s="251"/>
      <c r="D7" s="251"/>
      <c r="E7" s="251"/>
      <c r="F7" s="251"/>
      <c r="G7" s="251"/>
      <c r="K7" s="261"/>
      <c r="L7" s="262"/>
      <c r="M7" s="262"/>
      <c r="N7" s="262"/>
      <c r="O7" s="262"/>
      <c r="P7" s="262"/>
      <c r="Q7" s="263"/>
    </row>
    <row r="8" spans="1:17" ht="45" customHeight="1" x14ac:dyDescent="0.4">
      <c r="A8" s="251" t="s">
        <v>10</v>
      </c>
      <c r="B8" s="251" t="e">
        <f>#REF!</f>
        <v>#REF!</v>
      </c>
      <c r="C8" s="251"/>
      <c r="D8" s="251"/>
      <c r="E8" s="251"/>
      <c r="F8" s="251"/>
      <c r="G8" s="251"/>
      <c r="K8" s="261"/>
      <c r="L8" s="262"/>
      <c r="M8" s="262"/>
      <c r="N8" s="262"/>
      <c r="O8" s="262"/>
      <c r="P8" s="262"/>
      <c r="Q8" s="263"/>
    </row>
    <row r="9" spans="1:17" ht="45" customHeight="1" x14ac:dyDescent="0.4">
      <c r="A9" s="251"/>
      <c r="B9" s="251"/>
      <c r="C9" s="251"/>
      <c r="D9" s="251"/>
      <c r="E9" s="251"/>
      <c r="F9" s="251"/>
      <c r="G9" s="251"/>
      <c r="K9" s="261"/>
      <c r="L9" s="262"/>
      <c r="M9" s="262"/>
      <c r="N9" s="262"/>
      <c r="O9" s="262"/>
      <c r="P9" s="262"/>
      <c r="Q9" s="263"/>
    </row>
    <row r="10" spans="1:17" ht="45" customHeight="1" x14ac:dyDescent="0.4">
      <c r="A10" s="251" t="s">
        <v>43</v>
      </c>
      <c r="B10" s="251" t="e">
        <f>#REF!</f>
        <v>#REF!</v>
      </c>
      <c r="C10" s="251"/>
      <c r="D10" s="251"/>
      <c r="E10" s="251"/>
      <c r="F10" s="251"/>
      <c r="G10" s="251"/>
      <c r="K10" s="261"/>
      <c r="L10" s="262"/>
      <c r="M10" s="262"/>
      <c r="N10" s="262"/>
      <c r="O10" s="262"/>
      <c r="P10" s="262"/>
      <c r="Q10" s="263"/>
    </row>
    <row r="11" spans="1:17" ht="45" customHeight="1" x14ac:dyDescent="0.4">
      <c r="A11" s="251"/>
      <c r="B11" s="251"/>
      <c r="C11" s="251"/>
      <c r="D11" s="251"/>
      <c r="E11" s="251"/>
      <c r="F11" s="251"/>
      <c r="G11" s="251"/>
      <c r="K11" s="261"/>
      <c r="L11" s="262"/>
      <c r="M11" s="262"/>
      <c r="N11" s="262"/>
      <c r="O11" s="262"/>
      <c r="P11" s="262"/>
      <c r="Q11" s="263"/>
    </row>
    <row r="12" spans="1:17" ht="45" customHeight="1" x14ac:dyDescent="0.4">
      <c r="A12" s="267" t="s">
        <v>44</v>
      </c>
      <c r="B12" s="251" t="e">
        <f>#REF!</f>
        <v>#REF!</v>
      </c>
      <c r="C12" s="251"/>
      <c r="D12" s="251"/>
      <c r="E12" s="251"/>
      <c r="F12" s="251"/>
      <c r="G12" s="251"/>
      <c r="K12" s="261"/>
      <c r="L12" s="262"/>
      <c r="M12" s="262"/>
      <c r="N12" s="262"/>
      <c r="O12" s="262"/>
      <c r="P12" s="262"/>
      <c r="Q12" s="263"/>
    </row>
    <row r="13" spans="1:17" ht="45" customHeight="1" x14ac:dyDescent="0.4">
      <c r="A13" s="251"/>
      <c r="B13" s="251"/>
      <c r="C13" s="251"/>
      <c r="D13" s="251"/>
      <c r="E13" s="251"/>
      <c r="F13" s="251"/>
      <c r="G13" s="251"/>
      <c r="K13" s="261"/>
      <c r="L13" s="262"/>
      <c r="M13" s="262"/>
      <c r="N13" s="262"/>
      <c r="O13" s="262"/>
      <c r="P13" s="262"/>
      <c r="Q13" s="263"/>
    </row>
    <row r="14" spans="1:17" ht="45" customHeight="1" x14ac:dyDescent="0.4">
      <c r="K14" s="261"/>
      <c r="L14" s="262"/>
      <c r="M14" s="262"/>
      <c r="N14" s="262"/>
      <c r="O14" s="262"/>
      <c r="P14" s="262"/>
      <c r="Q14" s="263"/>
    </row>
    <row r="15" spans="1:17" ht="45" customHeight="1" x14ac:dyDescent="0.4">
      <c r="B15" s="3"/>
      <c r="C15" s="3"/>
      <c r="D15" s="3"/>
      <c r="E15" s="3"/>
      <c r="F15" s="3"/>
      <c r="G15" s="4" t="s">
        <v>11</v>
      </c>
      <c r="H15" s="3"/>
      <c r="I15" s="3"/>
      <c r="J15" s="3"/>
      <c r="K15" s="261"/>
      <c r="L15" s="262"/>
      <c r="M15" s="262"/>
      <c r="N15" s="262"/>
      <c r="O15" s="262"/>
      <c r="P15" s="262"/>
      <c r="Q15" s="263"/>
    </row>
    <row r="16" spans="1:17" ht="60" customHeight="1" x14ac:dyDescent="0.4">
      <c r="A16" s="5" t="s">
        <v>12</v>
      </c>
      <c r="B16" s="6" t="s">
        <v>13</v>
      </c>
      <c r="C16" s="6" t="s">
        <v>14</v>
      </c>
      <c r="D16" s="6" t="s">
        <v>15</v>
      </c>
      <c r="E16" s="6" t="s">
        <v>16</v>
      </c>
      <c r="F16" s="6" t="s">
        <v>17</v>
      </c>
      <c r="G16" s="6" t="s">
        <v>18</v>
      </c>
      <c r="K16" s="261"/>
      <c r="L16" s="262"/>
      <c r="M16" s="262"/>
      <c r="N16" s="262"/>
      <c r="O16" s="262"/>
      <c r="P16" s="262"/>
      <c r="Q16" s="263"/>
    </row>
    <row r="17" spans="1:17" ht="60" customHeight="1" x14ac:dyDescent="0.4">
      <c r="A17" s="7" t="s">
        <v>28</v>
      </c>
      <c r="B17" s="8"/>
      <c r="C17" s="9">
        <f>B38</f>
        <v>0</v>
      </c>
      <c r="D17" s="8">
        <f>C38</f>
        <v>0</v>
      </c>
      <c r="E17" s="9">
        <f>D38</f>
        <v>0</v>
      </c>
      <c r="F17" s="9">
        <f>E38</f>
        <v>0</v>
      </c>
      <c r="G17" s="10">
        <f>F38</f>
        <v>0</v>
      </c>
      <c r="K17" s="261"/>
      <c r="L17" s="262"/>
      <c r="M17" s="262"/>
      <c r="N17" s="262"/>
      <c r="O17" s="262"/>
      <c r="P17" s="262"/>
      <c r="Q17" s="263"/>
    </row>
    <row r="18" spans="1:17" ht="60" customHeight="1" x14ac:dyDescent="0.4">
      <c r="A18" s="11" t="s">
        <v>19</v>
      </c>
      <c r="B18" s="12"/>
      <c r="C18" s="13"/>
      <c r="D18" s="12"/>
      <c r="E18" s="13"/>
      <c r="F18" s="13"/>
      <c r="G18" s="14"/>
      <c r="K18" s="261"/>
      <c r="L18" s="262"/>
      <c r="M18" s="262"/>
      <c r="N18" s="262"/>
      <c r="O18" s="262"/>
      <c r="P18" s="262"/>
      <c r="Q18" s="263"/>
    </row>
    <row r="19" spans="1:17" ht="60" customHeight="1" x14ac:dyDescent="0.4">
      <c r="A19" s="15" t="s">
        <v>29</v>
      </c>
      <c r="B19" s="16"/>
      <c r="C19" s="17"/>
      <c r="D19" s="16"/>
      <c r="E19" s="17"/>
      <c r="F19" s="17"/>
      <c r="G19" s="18"/>
      <c r="K19" s="261"/>
      <c r="L19" s="262"/>
      <c r="M19" s="262"/>
      <c r="N19" s="262"/>
      <c r="O19" s="262"/>
      <c r="P19" s="262"/>
      <c r="Q19" s="263"/>
    </row>
    <row r="20" spans="1:17" ht="60" customHeight="1" x14ac:dyDescent="0.4">
      <c r="A20" s="15" t="s">
        <v>30</v>
      </c>
      <c r="B20" s="16"/>
      <c r="C20" s="17"/>
      <c r="D20" s="16"/>
      <c r="E20" s="17"/>
      <c r="F20" s="17"/>
      <c r="G20" s="18"/>
      <c r="K20" s="261"/>
      <c r="L20" s="262"/>
      <c r="M20" s="262"/>
      <c r="N20" s="262"/>
      <c r="O20" s="262"/>
      <c r="P20" s="262"/>
      <c r="Q20" s="263"/>
    </row>
    <row r="21" spans="1:17" ht="60" customHeight="1" x14ac:dyDescent="0.4">
      <c r="A21" s="19" t="s">
        <v>20</v>
      </c>
      <c r="B21" s="20"/>
      <c r="C21" s="21"/>
      <c r="D21" s="20"/>
      <c r="E21" s="21"/>
      <c r="F21" s="21"/>
      <c r="G21" s="22"/>
      <c r="K21" s="261"/>
      <c r="L21" s="262"/>
      <c r="M21" s="262"/>
      <c r="N21" s="262"/>
      <c r="O21" s="262"/>
      <c r="P21" s="262"/>
      <c r="Q21" s="263"/>
    </row>
    <row r="22" spans="1:17" ht="60" customHeight="1" x14ac:dyDescent="0.4">
      <c r="A22" s="23" t="s">
        <v>21</v>
      </c>
      <c r="B22" s="24">
        <f t="shared" ref="B22:G22" si="0">SUM(B18:B21)</f>
        <v>0</v>
      </c>
      <c r="C22" s="25">
        <f t="shared" si="0"/>
        <v>0</v>
      </c>
      <c r="D22" s="24">
        <f t="shared" si="0"/>
        <v>0</v>
      </c>
      <c r="E22" s="25">
        <f t="shared" si="0"/>
        <v>0</v>
      </c>
      <c r="F22" s="25">
        <f t="shared" si="0"/>
        <v>0</v>
      </c>
      <c r="G22" s="26">
        <f t="shared" si="0"/>
        <v>0</v>
      </c>
      <c r="K22" s="261"/>
      <c r="L22" s="262"/>
      <c r="M22" s="262"/>
      <c r="N22" s="262"/>
      <c r="O22" s="262"/>
      <c r="P22" s="262"/>
      <c r="Q22" s="263"/>
    </row>
    <row r="23" spans="1:17" ht="60" customHeight="1" x14ac:dyDescent="0.4">
      <c r="A23" s="27" t="s">
        <v>22</v>
      </c>
      <c r="B23" s="28"/>
      <c r="C23" s="29"/>
      <c r="D23" s="28"/>
      <c r="E23" s="29"/>
      <c r="F23" s="29"/>
      <c r="G23" s="30"/>
      <c r="K23" s="264"/>
      <c r="L23" s="265"/>
      <c r="M23" s="265"/>
      <c r="N23" s="265"/>
      <c r="O23" s="265"/>
      <c r="P23" s="265"/>
      <c r="Q23" s="266"/>
    </row>
    <row r="24" spans="1:17" ht="60" customHeight="1" x14ac:dyDescent="0.4">
      <c r="A24" s="15" t="s">
        <v>31</v>
      </c>
      <c r="B24" s="16"/>
      <c r="C24" s="17"/>
      <c r="D24" s="16"/>
      <c r="E24" s="17"/>
      <c r="F24" s="17"/>
      <c r="G24" s="18"/>
      <c r="K24" s="261"/>
      <c r="L24" s="262"/>
      <c r="M24" s="262"/>
      <c r="N24" s="262"/>
      <c r="O24" s="262"/>
      <c r="P24" s="262"/>
      <c r="Q24" s="263"/>
    </row>
    <row r="25" spans="1:17" ht="60" customHeight="1" x14ac:dyDescent="0.4">
      <c r="A25" s="15" t="s">
        <v>32</v>
      </c>
      <c r="B25" s="16"/>
      <c r="C25" s="17"/>
      <c r="D25" s="16"/>
      <c r="E25" s="17"/>
      <c r="F25" s="17"/>
      <c r="G25" s="18"/>
      <c r="K25" s="261"/>
      <c r="L25" s="262"/>
      <c r="M25" s="262"/>
      <c r="N25" s="262"/>
      <c r="O25" s="262"/>
      <c r="P25" s="262"/>
      <c r="Q25" s="263"/>
    </row>
    <row r="26" spans="1:17" ht="60" customHeight="1" x14ac:dyDescent="0.4">
      <c r="A26" s="15" t="s">
        <v>23</v>
      </c>
      <c r="B26" s="16"/>
      <c r="C26" s="17"/>
      <c r="D26" s="16"/>
      <c r="E26" s="17"/>
      <c r="F26" s="17"/>
      <c r="G26" s="18"/>
      <c r="K26" s="261"/>
      <c r="L26" s="262"/>
      <c r="M26" s="262"/>
      <c r="N26" s="262"/>
      <c r="O26" s="262"/>
      <c r="P26" s="262"/>
      <c r="Q26" s="263"/>
    </row>
    <row r="27" spans="1:17" ht="60" customHeight="1" x14ac:dyDescent="0.4">
      <c r="A27" s="15" t="s">
        <v>33</v>
      </c>
      <c r="B27" s="16"/>
      <c r="C27" s="17"/>
      <c r="D27" s="16"/>
      <c r="E27" s="17"/>
      <c r="F27" s="17"/>
      <c r="G27" s="18"/>
      <c r="K27" s="261"/>
      <c r="L27" s="262"/>
      <c r="M27" s="262"/>
      <c r="N27" s="262"/>
      <c r="O27" s="262"/>
      <c r="P27" s="262"/>
      <c r="Q27" s="263"/>
    </row>
    <row r="28" spans="1:17" ht="60" customHeight="1" x14ac:dyDescent="0.4">
      <c r="A28" s="15" t="s">
        <v>34</v>
      </c>
      <c r="B28" s="16"/>
      <c r="C28" s="17"/>
      <c r="D28" s="16"/>
      <c r="E28" s="17"/>
      <c r="F28" s="17"/>
      <c r="G28" s="18"/>
      <c r="K28" s="261"/>
      <c r="L28" s="262"/>
      <c r="M28" s="262"/>
      <c r="N28" s="262"/>
      <c r="O28" s="262"/>
      <c r="P28" s="262"/>
      <c r="Q28" s="263"/>
    </row>
    <row r="29" spans="1:17" ht="60" customHeight="1" x14ac:dyDescent="0.4">
      <c r="A29" s="19" t="s">
        <v>35</v>
      </c>
      <c r="B29" s="20"/>
      <c r="C29" s="21"/>
      <c r="D29" s="20"/>
      <c r="E29" s="21"/>
      <c r="F29" s="21"/>
      <c r="G29" s="22"/>
      <c r="K29" s="261"/>
      <c r="L29" s="262"/>
      <c r="M29" s="262"/>
      <c r="N29" s="262"/>
      <c r="O29" s="262"/>
      <c r="P29" s="262"/>
      <c r="Q29" s="263"/>
    </row>
    <row r="30" spans="1:17" ht="60" customHeight="1" x14ac:dyDescent="0.4">
      <c r="A30" s="31" t="s">
        <v>36</v>
      </c>
      <c r="B30" s="8">
        <f t="shared" ref="B30:G30" si="1">SUM(B23:B29)</f>
        <v>0</v>
      </c>
      <c r="C30" s="9">
        <f t="shared" si="1"/>
        <v>0</v>
      </c>
      <c r="D30" s="8">
        <f t="shared" si="1"/>
        <v>0</v>
      </c>
      <c r="E30" s="9">
        <f t="shared" si="1"/>
        <v>0</v>
      </c>
      <c r="F30" s="9">
        <f t="shared" si="1"/>
        <v>0</v>
      </c>
      <c r="G30" s="10">
        <f t="shared" si="1"/>
        <v>0</v>
      </c>
      <c r="K30" s="261"/>
      <c r="L30" s="262"/>
      <c r="M30" s="262"/>
      <c r="N30" s="262"/>
      <c r="O30" s="262"/>
      <c r="P30" s="262"/>
      <c r="Q30" s="263"/>
    </row>
    <row r="31" spans="1:17" ht="60" customHeight="1" x14ac:dyDescent="0.4">
      <c r="A31" s="32" t="s">
        <v>37</v>
      </c>
      <c r="B31" s="33">
        <f t="shared" ref="B31:G31" si="2">B22-B30</f>
        <v>0</v>
      </c>
      <c r="C31" s="34">
        <f t="shared" si="2"/>
        <v>0</v>
      </c>
      <c r="D31" s="33">
        <f t="shared" si="2"/>
        <v>0</v>
      </c>
      <c r="E31" s="34">
        <f t="shared" si="2"/>
        <v>0</v>
      </c>
      <c r="F31" s="34">
        <f t="shared" si="2"/>
        <v>0</v>
      </c>
      <c r="G31" s="35">
        <f t="shared" si="2"/>
        <v>0</v>
      </c>
      <c r="K31" s="261"/>
      <c r="L31" s="262"/>
      <c r="M31" s="262"/>
      <c r="N31" s="262"/>
      <c r="O31" s="262"/>
      <c r="P31" s="262"/>
      <c r="Q31" s="263"/>
    </row>
    <row r="32" spans="1:17" ht="60" customHeight="1" x14ac:dyDescent="0.4">
      <c r="A32" s="31" t="s">
        <v>38</v>
      </c>
      <c r="B32" s="9" t="e">
        <f t="shared" ref="B32:G32" si="3">B22/B30</f>
        <v>#DIV/0!</v>
      </c>
      <c r="C32" s="9" t="e">
        <f t="shared" si="3"/>
        <v>#DIV/0!</v>
      </c>
      <c r="D32" s="9" t="e">
        <f t="shared" si="3"/>
        <v>#DIV/0!</v>
      </c>
      <c r="E32" s="9" t="e">
        <f t="shared" si="3"/>
        <v>#DIV/0!</v>
      </c>
      <c r="F32" s="9" t="e">
        <f t="shared" si="3"/>
        <v>#DIV/0!</v>
      </c>
      <c r="G32" s="9" t="e">
        <f t="shared" si="3"/>
        <v>#DIV/0!</v>
      </c>
      <c r="K32" s="261"/>
      <c r="L32" s="262"/>
      <c r="M32" s="262"/>
      <c r="N32" s="262"/>
      <c r="O32" s="262"/>
      <c r="P32" s="262"/>
      <c r="Q32" s="263"/>
    </row>
    <row r="33" spans="1:17" ht="60" customHeight="1" x14ac:dyDescent="0.4">
      <c r="A33" s="11" t="s">
        <v>24</v>
      </c>
      <c r="B33" s="12"/>
      <c r="C33" s="13"/>
      <c r="D33" s="12"/>
      <c r="E33" s="13"/>
      <c r="F33" s="13"/>
      <c r="G33" s="14"/>
      <c r="K33" s="261"/>
      <c r="L33" s="262"/>
      <c r="M33" s="262"/>
      <c r="N33" s="262"/>
      <c r="O33" s="262"/>
      <c r="P33" s="262"/>
      <c r="Q33" s="263"/>
    </row>
    <row r="34" spans="1:17" ht="60" customHeight="1" x14ac:dyDescent="0.4">
      <c r="A34" s="37" t="s">
        <v>39</v>
      </c>
      <c r="B34" s="38"/>
      <c r="C34" s="34"/>
      <c r="D34" s="38"/>
      <c r="E34" s="34"/>
      <c r="F34" s="34"/>
      <c r="G34" s="35"/>
      <c r="K34" s="261"/>
      <c r="L34" s="262"/>
      <c r="M34" s="262"/>
      <c r="N34" s="262"/>
      <c r="O34" s="262"/>
      <c r="P34" s="262"/>
      <c r="Q34" s="263"/>
    </row>
    <row r="35" spans="1:17" ht="60" customHeight="1" x14ac:dyDescent="0.4">
      <c r="A35" s="39" t="s">
        <v>25</v>
      </c>
      <c r="B35" s="40"/>
      <c r="C35" s="41"/>
      <c r="D35" s="40"/>
      <c r="E35" s="41"/>
      <c r="F35" s="41"/>
      <c r="G35" s="42"/>
      <c r="K35" s="261"/>
      <c r="L35" s="262"/>
      <c r="M35" s="262"/>
      <c r="N35" s="262"/>
      <c r="O35" s="262"/>
      <c r="P35" s="262"/>
      <c r="Q35" s="263"/>
    </row>
    <row r="36" spans="1:17" ht="60" customHeight="1" x14ac:dyDescent="0.4">
      <c r="A36" s="31" t="s">
        <v>40</v>
      </c>
      <c r="B36" s="9">
        <f>B33+B34-B35</f>
        <v>0</v>
      </c>
      <c r="C36" s="9">
        <f t="shared" ref="C36:G36" si="4">C33+C34-C35</f>
        <v>0</v>
      </c>
      <c r="D36" s="9">
        <f t="shared" si="4"/>
        <v>0</v>
      </c>
      <c r="E36" s="9">
        <f t="shared" si="4"/>
        <v>0</v>
      </c>
      <c r="F36" s="9">
        <f t="shared" si="4"/>
        <v>0</v>
      </c>
      <c r="G36" s="9">
        <f t="shared" si="4"/>
        <v>0</v>
      </c>
      <c r="K36" s="261"/>
      <c r="L36" s="262"/>
      <c r="M36" s="262"/>
      <c r="N36" s="262"/>
      <c r="O36" s="262"/>
      <c r="P36" s="262"/>
      <c r="Q36" s="263"/>
    </row>
    <row r="37" spans="1:17" ht="60" customHeight="1" x14ac:dyDescent="0.4">
      <c r="A37" s="32" t="s">
        <v>41</v>
      </c>
      <c r="B37" s="34">
        <f t="shared" ref="B37:G37" si="5">B31+B36</f>
        <v>0</v>
      </c>
      <c r="C37" s="34">
        <f t="shared" si="5"/>
        <v>0</v>
      </c>
      <c r="D37" s="34">
        <f t="shared" si="5"/>
        <v>0</v>
      </c>
      <c r="E37" s="34">
        <f t="shared" si="5"/>
        <v>0</v>
      </c>
      <c r="F37" s="34">
        <f t="shared" si="5"/>
        <v>0</v>
      </c>
      <c r="G37" s="34">
        <f t="shared" si="5"/>
        <v>0</v>
      </c>
      <c r="K37" s="264"/>
      <c r="L37" s="265"/>
      <c r="M37" s="265"/>
      <c r="N37" s="265"/>
      <c r="O37" s="265"/>
      <c r="P37" s="265"/>
      <c r="Q37" s="266"/>
    </row>
    <row r="38" spans="1:17" ht="60" customHeight="1" x14ac:dyDescent="0.4">
      <c r="A38" s="31" t="s">
        <v>42</v>
      </c>
      <c r="B38" s="9">
        <f t="shared" ref="B38:G38" si="6">B17+B37</f>
        <v>0</v>
      </c>
      <c r="C38" s="9">
        <f t="shared" si="6"/>
        <v>0</v>
      </c>
      <c r="D38" s="9">
        <f t="shared" si="6"/>
        <v>0</v>
      </c>
      <c r="E38" s="9">
        <f t="shared" si="6"/>
        <v>0</v>
      </c>
      <c r="F38" s="9">
        <f t="shared" si="6"/>
        <v>0</v>
      </c>
      <c r="G38" s="9">
        <f t="shared" si="6"/>
        <v>0</v>
      </c>
      <c r="K38" s="248" t="s">
        <v>27</v>
      </c>
      <c r="L38" s="249"/>
      <c r="M38" s="249"/>
      <c r="N38" s="249"/>
      <c r="O38" s="249"/>
      <c r="P38" s="249"/>
      <c r="Q38" s="250"/>
    </row>
    <row r="39" spans="1:17" ht="60" customHeight="1" x14ac:dyDescent="0.4"/>
    <row r="40" spans="1:17" ht="60" customHeight="1" x14ac:dyDescent="0.4"/>
  </sheetData>
  <mergeCells count="16">
    <mergeCell ref="K38:Q38"/>
    <mergeCell ref="A2:A4"/>
    <mergeCell ref="B2:C4"/>
    <mergeCell ref="K2:Q23"/>
    <mergeCell ref="B5:C5"/>
    <mergeCell ref="D5:E5"/>
    <mergeCell ref="F5:G5"/>
    <mergeCell ref="A6:A7"/>
    <mergeCell ref="B6:G7"/>
    <mergeCell ref="A8:A9"/>
    <mergeCell ref="B8:G9"/>
    <mergeCell ref="A10:A11"/>
    <mergeCell ref="B10:G11"/>
    <mergeCell ref="A12:A13"/>
    <mergeCell ref="B12:G13"/>
    <mergeCell ref="K24:Q37"/>
  </mergeCells>
  <phoneticPr fontId="3"/>
  <conditionalFormatting sqref="B18:G21 B33:G35">
    <cfRule type="cellIs" dxfId="1" priority="2" operator="equal">
      <formula>""</formula>
    </cfRule>
  </conditionalFormatting>
  <conditionalFormatting sqref="B23:G29">
    <cfRule type="cellIs" dxfId="0" priority="1" operator="equal">
      <formula>""</formula>
    </cfRule>
  </conditionalFormatting>
  <printOptions horizontalCentered="1" verticalCentered="1"/>
  <pageMargins left="0.70866141732283472" right="0.70866141732283472" top="0" bottom="0" header="0" footer="0"/>
  <pageSetup paperSize="8" scale="35" orientation="landscape" r:id="rId1"/>
  <headerFooter>
    <oddHeader>&amp;C&amp;"ＭＳ ゴシック,標準"&amp;36お客様支援シート</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8</vt:i4>
      </vt:variant>
    </vt:vector>
  </HeadingPairs>
  <TitlesOfParts>
    <vt:vector size="18" baseType="lpstr">
      <vt:lpstr>資金繰り表データ入力バージョン2 (原本)</vt:lpstr>
      <vt:lpstr>資金繰り表　バージョン2 (2)</vt:lpstr>
      <vt:lpstr>資金繰り表データ入力バージョン2 (2)</vt:lpstr>
      <vt:lpstr>資金繰り予定表 (製造原価あり)</vt:lpstr>
      <vt:lpstr>資金繰り予定表データ入力（製造原価あり）</vt:lpstr>
      <vt:lpstr>資金繰り表 (製造業向け)</vt:lpstr>
      <vt:lpstr>資金繰り表データ入力バージョン2　製造</vt:lpstr>
      <vt:lpstr>資金繰り表データ入力（製造）</vt:lpstr>
      <vt:lpstr>資金繰り表（製造業向け。事業者提出用）</vt:lpstr>
      <vt:lpstr>資金繰り表作成支援シート(旧)</vt:lpstr>
      <vt:lpstr>'資金繰り表 (製造業向け)'!Print_Area</vt:lpstr>
      <vt:lpstr>'資金繰り表　バージョン2 (2)'!Print_Area</vt:lpstr>
      <vt:lpstr>'資金繰り表（製造業向け。事業者提出用）'!Print_Area</vt:lpstr>
      <vt:lpstr>'資金繰り表データ入力バージョン2 (2)'!Print_Area</vt:lpstr>
      <vt:lpstr>'資金繰り表データ入力バージョン2 (原本)'!Print_Area</vt:lpstr>
      <vt:lpstr>'資金繰り表作成支援シート(旧)'!Print_Area</vt:lpstr>
      <vt:lpstr>'資金繰り予定表 (製造原価あり)'!Print_Area</vt:lpstr>
      <vt:lpstr>'資金繰り予定表データ入力（製造原価あり）'!Print_Area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2023-06-28T02:38:08Z</dcterms:created>
  <dcterms:modified xsi:type="dcterms:W3CDTF">2023-06-28T02:40:42Z</dcterms:modified>
</cp:coreProperties>
</file>